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022"/>
  <workbookPr codeName="EstaPasta_de_trabalho" autoCompressPictures="0"/>
  <bookViews>
    <workbookView xWindow="0" yWindow="-460" windowWidth="25600" windowHeight="16000"/>
  </bookViews>
  <sheets>
    <sheet name="Meta Mínima"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72" i="1" l="1"/>
  <c r="M72" i="1"/>
  <c r="M73" i="1"/>
  <c r="M74" i="1"/>
  <c r="M75" i="1"/>
  <c r="M76" i="1"/>
  <c r="M77" i="1"/>
  <c r="M78" i="1"/>
  <c r="M79" i="1"/>
  <c r="M80" i="1"/>
  <c r="M71" i="1"/>
  <c r="J80" i="1"/>
  <c r="J79" i="1"/>
  <c r="J78" i="1"/>
  <c r="J77" i="1"/>
  <c r="J76" i="1"/>
  <c r="J75" i="1"/>
  <c r="J74" i="1"/>
  <c r="J73" i="1"/>
  <c r="J72" i="1"/>
  <c r="J71" i="1"/>
  <c r="E73" i="1"/>
  <c r="E74" i="1"/>
  <c r="F75" i="1"/>
  <c r="E76" i="1"/>
  <c r="E77" i="1"/>
  <c r="L21" i="1"/>
  <c r="L22" i="1"/>
  <c r="L23" i="1"/>
  <c r="L24" i="1"/>
  <c r="L25" i="1"/>
  <c r="L29" i="1"/>
  <c r="L28" i="1"/>
  <c r="L27" i="1"/>
  <c r="L26" i="1"/>
  <c r="L30" i="1"/>
  <c r="M21" i="1"/>
  <c r="M22" i="1"/>
  <c r="M23" i="1"/>
  <c r="M24" i="1"/>
  <c r="M25" i="1"/>
  <c r="M29" i="1"/>
  <c r="M28" i="1"/>
  <c r="M27" i="1"/>
  <c r="M26" i="1"/>
  <c r="M30" i="1"/>
  <c r="Q21" i="1"/>
  <c r="H56" i="1"/>
  <c r="H57" i="1"/>
  <c r="H58" i="1"/>
  <c r="Q22" i="1"/>
  <c r="Q23" i="1"/>
  <c r="Q24" i="1"/>
  <c r="Q25" i="1"/>
  <c r="Q26" i="1"/>
  <c r="Q27" i="1"/>
  <c r="Q28" i="1"/>
  <c r="Q29" i="1"/>
  <c r="Q30" i="1"/>
  <c r="M64" i="1"/>
  <c r="M63" i="1"/>
  <c r="M62" i="1"/>
  <c r="M61" i="1"/>
  <c r="M60" i="1"/>
  <c r="M59" i="1"/>
  <c r="M58" i="1"/>
  <c r="M56" i="1"/>
  <c r="M57" i="1"/>
  <c r="L31" i="1"/>
  <c r="I30" i="1"/>
  <c r="I29" i="1"/>
  <c r="I28" i="1"/>
  <c r="I27" i="1"/>
  <c r="I26" i="1"/>
  <c r="I25" i="1"/>
  <c r="I24" i="1"/>
  <c r="I23" i="1"/>
  <c r="I22" i="1"/>
  <c r="I21" i="1"/>
  <c r="N24" i="1"/>
  <c r="N27" i="1"/>
  <c r="N30" i="1"/>
  <c r="N29" i="1"/>
  <c r="N23" i="1"/>
  <c r="N22" i="1"/>
  <c r="N26" i="1"/>
  <c r="N25" i="1"/>
  <c r="N28" i="1"/>
  <c r="N21" i="1"/>
  <c r="F71" i="1"/>
  <c r="E79" i="1"/>
  <c r="H55" i="1"/>
  <c r="E71" i="1"/>
  <c r="E38" i="1"/>
  <c r="E43" i="1"/>
  <c r="G42" i="1"/>
  <c r="F74" i="1"/>
  <c r="F72" i="1"/>
  <c r="F73" i="1"/>
  <c r="E75" i="1"/>
  <c r="E78" i="1"/>
  <c r="E80" i="1"/>
</calcChain>
</file>

<file path=xl/comments1.xml><?xml version="1.0" encoding="utf-8"?>
<comments xmlns="http://schemas.openxmlformats.org/spreadsheetml/2006/main">
  <authors>
    <author>Comunicação Benfeitoria</author>
  </authors>
  <commentList>
    <comment ref="E12" authorId="0">
      <text>
        <r>
          <rPr>
            <b/>
            <sz val="9"/>
            <color indexed="81"/>
            <rFont val="Tahoma"/>
            <family val="2"/>
          </rPr>
          <t>Coloque aqui o valor mínimo necessário para realizar o seu projeto.</t>
        </r>
      </text>
    </comment>
    <comment ref="E14" authorId="0">
      <text>
        <r>
          <rPr>
            <b/>
            <sz val="9"/>
            <color indexed="81"/>
            <rFont val="Tahoma"/>
            <family val="2"/>
          </rPr>
          <t>Quanto você pretende gastar para divulgar sua campanha de crowdfunding para o mundo?
Você pretente usar anúncios online? Vai gastar para produzir o vídeo do projeto?</t>
        </r>
      </text>
    </comment>
    <comment ref="E38" authorId="0">
      <text>
        <r>
          <rPr>
            <b/>
            <sz val="9"/>
            <color indexed="81"/>
            <rFont val="Tahoma"/>
            <family val="2"/>
          </rPr>
          <t>Este valor representa o tamanho dos custos de suas recompensas com relação a sua arrecadação.
Tente deixar esse valor abaixo de 30%!</t>
        </r>
      </text>
    </comment>
    <comment ref="E39" authorId="0">
      <text>
        <r>
          <rPr>
            <b/>
            <sz val="9"/>
            <color indexed="81"/>
            <rFont val="Tahoma"/>
            <family val="2"/>
          </rPr>
          <t>O valor cobrado pela nossa integradora financeira (MoIP+Paypal) gira em torno de 5% do total arrecadado.</t>
        </r>
      </text>
    </comment>
    <comment ref="E40" authorId="0">
      <text>
        <r>
          <rPr>
            <b/>
            <sz val="9"/>
            <color indexed="81"/>
            <rFont val="Tahoma"/>
            <family val="2"/>
          </rPr>
          <t>Para proteger seu projeto, sugerimos uma margem de erro de 5%. Afinal, imprevistos acontecem.</t>
        </r>
      </text>
    </comment>
    <comment ref="E41" authorId="0">
      <text>
        <r>
          <rPr>
            <b/>
            <sz val="9"/>
            <color indexed="81"/>
            <rFont val="Tahoma"/>
            <family val="2"/>
          </rPr>
          <t>Com quanto da sua arrecadação você gostaria de contribuir com a benfeitoria?
Sugerimos 8%, que é o valor que precisamos para cubrir nossos custos.</t>
        </r>
      </text>
    </comment>
    <comment ref="H55" authorId="0">
      <text>
        <r>
          <rPr>
            <b/>
            <sz val="9"/>
            <color indexed="81"/>
            <rFont val="Tahoma"/>
            <family val="2"/>
          </rPr>
          <t>Esse é o valor médio de colaboração para sua previsão de campanha.
Esse valor custuma ser próximo de R$ 100, variando um pouco de campanha para campanha.</t>
        </r>
      </text>
    </comment>
    <comment ref="H56" authorId="0">
      <text>
        <r>
          <rPr>
            <b/>
            <sz val="9"/>
            <color indexed="81"/>
            <rFont val="Tahoma"/>
            <family val="2"/>
          </rPr>
          <t>Esse é o número de colaboradores que você está prevendo ter na sua campanha.</t>
        </r>
      </text>
    </comment>
    <comment ref="H57" authorId="0">
      <text>
        <r>
          <rPr>
            <b/>
            <sz val="9"/>
            <color indexed="81"/>
            <rFont val="Tahoma"/>
            <family val="2"/>
          </rPr>
          <t>Para cumprir o cenário montado essa é a estimativa de visitas necessárias à página do projeto.</t>
        </r>
      </text>
    </comment>
    <comment ref="H58" authorId="0">
      <text>
        <r>
          <rPr>
            <b/>
            <sz val="9"/>
            <color indexed="81"/>
            <rFont val="Tahoma"/>
            <family val="2"/>
          </rPr>
          <t>Esse é o número aproximado de pessoas que devem ficar sabendo da sua campanha.</t>
        </r>
      </text>
    </comment>
    <comment ref="E71" authorId="0">
      <text>
        <r>
          <rPr>
            <b/>
            <sz val="9"/>
            <color indexed="81"/>
            <rFont val="Tahoma"/>
            <family val="2"/>
          </rPr>
          <t>Este valor representa o tamanho dos custos de suas recompensas com relação a sua arrecadação.
Tente deixar esse valor abaixo de 30%!</t>
        </r>
      </text>
    </comment>
    <comment ref="F71" authorId="0">
      <text>
        <r>
          <rPr>
            <b/>
            <sz val="9"/>
            <color indexed="81"/>
            <rFont val="Tahoma"/>
            <family val="2"/>
          </rPr>
          <t>No cenário que você criou esse será o seu custo com a produção e distribuição de recompensas.</t>
        </r>
      </text>
    </comment>
    <comment ref="E72" authorId="0">
      <text>
        <r>
          <rPr>
            <b/>
            <sz val="9"/>
            <color indexed="81"/>
            <rFont val="Tahoma"/>
            <family val="2"/>
          </rPr>
          <t>O valor cobrado pela nossa integradora financeira (MoIP+Paypal) gira em torno de 5% do total arrecadado.</t>
        </r>
      </text>
    </comment>
    <comment ref="F72" authorId="0">
      <text>
        <r>
          <rPr>
            <b/>
            <sz val="9"/>
            <color indexed="81"/>
            <rFont val="Tahoma"/>
            <family val="2"/>
          </rPr>
          <t>No cenário que você criou esse será o seu custo financeiro.</t>
        </r>
      </text>
    </comment>
    <comment ref="E73" authorId="0">
      <text>
        <r>
          <rPr>
            <b/>
            <sz val="9"/>
            <color indexed="81"/>
            <rFont val="Tahoma"/>
            <family val="2"/>
          </rPr>
          <t>Para proteger seu projeto, sugerimos uma margem de erro de 5%. Afinal, imprevistos acontecem.</t>
        </r>
      </text>
    </comment>
    <comment ref="F73" authorId="0">
      <text>
        <r>
          <rPr>
            <b/>
            <sz val="9"/>
            <color indexed="81"/>
            <rFont val="Tahoma"/>
            <family val="2"/>
          </rPr>
          <t>Este é o valor que você está reservando para cobrir imprevistos.</t>
        </r>
      </text>
    </comment>
    <comment ref="E74" authorId="0">
      <text>
        <r>
          <rPr>
            <b/>
            <sz val="9"/>
            <color indexed="81"/>
            <rFont val="Tahoma"/>
            <family val="2"/>
          </rPr>
          <t>Com quanto da sua arrecadação você gostaria de contribuir com a benfeitoria?
Sugerimos 8%, que é o valor que precisamos para cubrir nossos custos.</t>
        </r>
      </text>
    </comment>
    <comment ref="F74" authorId="0">
      <text>
        <r>
          <rPr>
            <b/>
            <sz val="9"/>
            <color indexed="81"/>
            <rFont val="Tahoma"/>
            <family val="2"/>
          </rPr>
          <t>Esse é o valor que você gostaria de deixar para a benfeitoria.</t>
        </r>
      </text>
    </comment>
  </commentList>
</comments>
</file>

<file path=xl/sharedStrings.xml><?xml version="1.0" encoding="utf-8"?>
<sst xmlns="http://schemas.openxmlformats.org/spreadsheetml/2006/main" count="75" uniqueCount="68">
  <si>
    <t>Tabela de cálculo de receitas de recompensas e divulgação estimada do projeto</t>
  </si>
  <si>
    <t>Qual o valor que o seu projeto precisa para sair do papel?</t>
  </si>
  <si>
    <t>Custo Mínimo do Projeto</t>
  </si>
  <si>
    <t>Recompensas</t>
  </si>
  <si>
    <t>Valor líquido</t>
  </si>
  <si>
    <t>Apoiadores estimados</t>
  </si>
  <si>
    <t>Quantidade disponível</t>
  </si>
  <si>
    <t>Arrecadação recompensa</t>
    <phoneticPr fontId="0" type="noConversion"/>
  </si>
  <si>
    <t>Custo recompensa</t>
  </si>
  <si>
    <t>Total recompensa</t>
    <phoneticPr fontId="0" type="noConversion"/>
  </si>
  <si>
    <t>Resultado Financeiro</t>
  </si>
  <si>
    <t>Custo com Divulgação</t>
  </si>
  <si>
    <t>TOTAL Custos de Recompensa</t>
  </si>
  <si>
    <t>Margem de Erro (5%)</t>
  </si>
  <si>
    <t>Percentual para a Benfeitoria</t>
  </si>
  <si>
    <t>CUSTO TOTAL</t>
  </si>
  <si>
    <t>ARRECADAÇÃO TOTAL</t>
  </si>
  <si>
    <t>QUANTO SOBRA?</t>
  </si>
  <si>
    <t>Divulgação necessária</t>
  </si>
  <si>
    <t>Contribuição média por colaboração</t>
  </si>
  <si>
    <t>Quantidade de colaboradores do projeto</t>
  </si>
  <si>
    <t>Divulgação necessária do projeto (em pessoas)</t>
  </si>
  <si>
    <t>Sugestão de meta para a campanha</t>
  </si>
  <si>
    <t>Custos da Transação Financeira (MoIP+Paypal)</t>
  </si>
  <si>
    <t>Recompensa 1</t>
  </si>
  <si>
    <t>Recompensa 2</t>
  </si>
  <si>
    <t>Recompensa 3</t>
  </si>
  <si>
    <t>Recompensa 4</t>
  </si>
  <si>
    <t>Recompensa 5</t>
  </si>
  <si>
    <t>Recompensa 6</t>
  </si>
  <si>
    <t>Recompensa 7</t>
  </si>
  <si>
    <t>Recompensa 8</t>
  </si>
  <si>
    <t>Recompensa 9</t>
  </si>
  <si>
    <t>Custos do Projeto</t>
  </si>
  <si>
    <t>Custos da Campanha</t>
  </si>
  <si>
    <t>Quantidade de visitas necessárias na página do projeto</t>
  </si>
  <si>
    <t>TOTAL</t>
  </si>
  <si>
    <t>Recompensa 10</t>
  </si>
  <si>
    <t>R$10 a R$20</t>
  </si>
  <si>
    <t>R$21 a R$35</t>
  </si>
  <si>
    <t>R$201 a R$350</t>
  </si>
  <si>
    <t>R$101 a R$200</t>
  </si>
  <si>
    <t>R$71 a R$100</t>
  </si>
  <si>
    <t>&gt;R$1000</t>
  </si>
  <si>
    <t>R$351 a R$500</t>
  </si>
  <si>
    <t>R$500 a R$1000</t>
  </si>
  <si>
    <t>R$36 a R$70</t>
  </si>
  <si>
    <t>Valor da Recompensa</t>
  </si>
  <si>
    <t>Instrução: preencha todas as células amarelas e fique atento às anotações que fizemos em cada campo!</t>
  </si>
  <si>
    <t>O quadro abaixo fala da divulgação necessária do seu projeto. Quantas pessoas precisam acessar a sua página na Benfeitoria para o seu projeto ser bem-sucedido? Separamos alguns números para você comparar com a média dos projetos da plataforma e também checar se são compatíveis com a sua rede.</t>
  </si>
  <si>
    <t>Este quadro fala sobre o mix de recompensas. Quantas pessoas selecionam a recompensa mais barata? E a mais cara? Compare os resultados do seu projeto com a média da plataforma.</t>
  </si>
  <si>
    <r>
      <rPr>
        <b/>
        <sz val="11"/>
        <rFont val="Open Sans"/>
      </rPr>
      <t>Quanto você precisa pedir na sua campanha para conseguir tirar seu projeto do papel?</t>
    </r>
    <r>
      <rPr>
        <sz val="11"/>
        <rFont val="Open Sans"/>
      </rPr>
      <t xml:space="preserve"> A resposta está no quadro abaixo. Aqui você vai responder duas questões:
1- Quanto do valor arrecadado você pretende deixar para a Benfeitoria ao final da campanha. (a Benfeitoria não cobra comissão obrigatória, mas como todo serviço temos nossos custos para se manter. Por isso pedimos para os realizadores de projetos uma contribuição ao final da campanha, mas só se ela for bem sucedida)
2- Uma margem de erro para o seu projeto. (Muitas vezes surgem imprevistos que acabam onerando ainda mais nossos projetos. Definir uma margem de erro nos ajuda a previnir isso)</t>
    </r>
  </si>
  <si>
    <r>
      <t xml:space="preserve">Está na hora de testar tudo que foi pensado até agora e ver se estamos com os pés na realidade. 
Esta planilha ajudará você a pensar nos números da sua campanha e ver se ela é mesmo viável. 
</t>
    </r>
    <r>
      <rPr>
        <b/>
        <sz val="12"/>
        <color theme="1" tint="0.499984740745262"/>
        <rFont val="Open Sans"/>
      </rPr>
      <t>A meta mínima do financiamento coletivo é maior do que o custo do seu projeto</t>
    </r>
    <r>
      <rPr>
        <sz val="12"/>
        <color theme="1" tint="0.499984740745262"/>
        <rFont val="Open Sans"/>
      </rPr>
      <t xml:space="preserve">, porque tem alguns custos extras. 
Faremos as perguntas certas para te guiar nesse processo: 
</t>
    </r>
    <r>
      <rPr>
        <i/>
        <sz val="12"/>
        <color theme="1" tint="0.499984740745262"/>
        <rFont val="Open Sans"/>
      </rPr>
      <t xml:space="preserve">Quanto custa seu projeto? Quais recompensas você vai oferecer? Qual o custo de produzir essas recompensas? Qual vai ser meu custo financeiro? Quanto gostaria de deixar para a Benfeitoria?
</t>
    </r>
    <r>
      <rPr>
        <sz val="12"/>
        <color theme="1" tint="0.499984740745262"/>
        <rFont val="Open Sans"/>
      </rPr>
      <t xml:space="preserve">
São essas as informações que ajudarão você a responder a pergunta mais importante na construção da sua campanha de financiamento coletivo: 
</t>
    </r>
    <r>
      <rPr>
        <b/>
        <sz val="12"/>
        <color theme="1" tint="0.499984740745262"/>
        <rFont val="Open Sans"/>
      </rPr>
      <t>Qual será a sua meta mínima?</t>
    </r>
    <r>
      <rPr>
        <sz val="12"/>
        <color theme="1" tint="0.499984740745262"/>
        <rFont val="Open Sans"/>
      </rPr>
      <t xml:space="preserve">
Agora é só seguir o passo a passo abaixo. 
Qualquer dúvida, sabe onde nos encontrar: </t>
    </r>
    <r>
      <rPr>
        <b/>
        <sz val="12"/>
        <color theme="1" tint="0.499984740745262"/>
        <rFont val="Open Sans"/>
      </rPr>
      <t>projetos@benfeitoria.com</t>
    </r>
  </si>
  <si>
    <t>Valor 
pedido</t>
  </si>
  <si>
    <t>#</t>
  </si>
  <si>
    <r>
      <rPr>
        <b/>
        <sz val="18"/>
        <color rgb="FFE41847"/>
        <rFont val="Open Sans"/>
      </rPr>
      <t>Passo 1</t>
    </r>
    <r>
      <rPr>
        <sz val="18"/>
        <color rgb="FFE41847"/>
        <rFont val="Open Sans"/>
      </rPr>
      <t xml:space="preserve"> - Valor mínimo para realizar o projeto</t>
    </r>
  </si>
  <si>
    <r>
      <t xml:space="preserve">Passo 2 </t>
    </r>
    <r>
      <rPr>
        <sz val="18"/>
        <color rgb="FFE41847"/>
        <rFont val="Open Sans"/>
      </rPr>
      <t>- Recompensas</t>
    </r>
  </si>
  <si>
    <r>
      <t xml:space="preserve">Coloque na tabela abaixo as recompensas que você vai oferecer para o projeto. Pense no valor de cada recompensa e no custo individual de produção delas. 
Estime a quantidade de apoiadores que você conseguirá para cada uma e automaticamente será feito o cálculo deste cenário de crowdfunding. </t>
    </r>
    <r>
      <rPr>
        <b/>
        <sz val="11"/>
        <color theme="1" tint="0.14999847407452621"/>
        <rFont val="Open Sans"/>
      </rPr>
      <t>Seja realista!</t>
    </r>
  </si>
  <si>
    <r>
      <rPr>
        <b/>
        <sz val="18"/>
        <color rgb="FFE41847"/>
        <rFont val="Open Sans"/>
      </rPr>
      <t>Passo 3</t>
    </r>
    <r>
      <rPr>
        <sz val="18"/>
        <color rgb="FFE41847"/>
        <rFont val="Open Sans"/>
      </rPr>
      <t xml:space="preserve"> - Meta mínima</t>
    </r>
  </si>
  <si>
    <r>
      <rPr>
        <b/>
        <sz val="12"/>
        <color rgb="FFE41847"/>
        <rFont val="Open Sans"/>
      </rPr>
      <t>META MÍNIMA</t>
    </r>
    <r>
      <rPr>
        <b/>
        <sz val="11"/>
        <color rgb="FFE41847"/>
        <rFont val="Open Sans"/>
      </rPr>
      <t xml:space="preserve">
</t>
    </r>
    <r>
      <rPr>
        <b/>
        <sz val="10"/>
        <color rgb="FFE41847"/>
        <rFont val="Open Sans"/>
      </rPr>
      <t>(Esta deve ser sua meta da campanha)</t>
    </r>
  </si>
  <si>
    <r>
      <t xml:space="preserve">Passo 4 </t>
    </r>
    <r>
      <rPr>
        <sz val="18"/>
        <color rgb="FFE41847"/>
        <rFont val="Open Sans"/>
      </rPr>
      <t>- Checagem</t>
    </r>
  </si>
  <si>
    <r>
      <rPr>
        <b/>
        <sz val="11"/>
        <color theme="1" tint="0.14999847407452621"/>
        <rFont val="Open Sans"/>
      </rPr>
      <t>Agora que já sabemos se a conta fecha com a sua projeção, vamos checar se os números fazem sentido.</t>
    </r>
    <r>
      <rPr>
        <sz val="11"/>
        <color theme="1" tint="0.14999847407452621"/>
        <rFont val="Open Sans"/>
      </rPr>
      <t xml:space="preserve">
Os quadros abaixo vão te ajudar a entender se o seu planejamento é realista, baseado no histórico de projetos da plataforma. 
Se você considerar que o resultado não está bom, volte para os passos anteriores e faça ajustes!</t>
    </r>
  </si>
  <si>
    <t>Média 
plataforma</t>
  </si>
  <si>
    <t>Seu 
Projeto</t>
  </si>
  <si>
    <t>Este é o resultado financeiro da sua projeção de campanha. 
Aqui está apresentado o custo com cada um dos itens de forma separada, com o resultado no final.</t>
  </si>
  <si>
    <t>Essa tabela te ajuda a entender os custos das suas recompensas. Ela diz o tamanho do custo de produção com relação ao valor escolhido para aquela recompensa. 
Lembrando que recomendamos que o custo da recompensa não ultrapasse 30% do valor dela.</t>
  </si>
  <si>
    <t>Custo/
Valor</t>
  </si>
  <si>
    <t>Custos da Transação Financeira
 (MoIP+Paypal)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</si>
</sst>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R$&quot;\ * #,##0.00_-;\-&quot;R$&quot;\ * #,##0.00_-;_-&quot;R$&quot;\ * &quot;-&quot;??_-;_-@_-"/>
    <numFmt numFmtId="165" formatCode="_-[$R$-416]\ * #,##0.00_-;\-[$R$-416]\ * #,##0.00_-;_-[$R$-416]\ * &quot;-&quot;??_-;_-@_-"/>
  </numFmts>
  <fonts count="36" x14ac:knownFonts="1">
    <font>
      <sz val="11"/>
      <color theme="1"/>
      <name val="Calibri"/>
      <family val="2"/>
      <scheme val="minor"/>
    </font>
    <font>
      <sz val="11"/>
      <color theme="1"/>
      <name val="Calibri"/>
      <family val="2"/>
      <scheme val="minor"/>
    </font>
    <font>
      <b/>
      <sz val="9"/>
      <color indexed="81"/>
      <name val="Tahoma"/>
      <family val="2"/>
    </font>
    <font>
      <u/>
      <sz val="11"/>
      <color theme="10"/>
      <name val="Calibri"/>
      <family val="2"/>
      <scheme val="minor"/>
    </font>
    <font>
      <u/>
      <sz val="11"/>
      <color theme="11"/>
      <name val="Calibri"/>
      <family val="2"/>
      <scheme val="minor"/>
    </font>
    <font>
      <sz val="8"/>
      <name val="Calibri"/>
      <family val="2"/>
      <scheme val="minor"/>
    </font>
    <font>
      <sz val="11"/>
      <color theme="1"/>
      <name val="Open Sans"/>
    </font>
    <font>
      <b/>
      <sz val="12"/>
      <color rgb="FFFF0000"/>
      <name val="Open Sans"/>
    </font>
    <font>
      <sz val="11"/>
      <color theme="1" tint="0.14999847407452621"/>
      <name val="Open Sans"/>
    </font>
    <font>
      <b/>
      <sz val="11"/>
      <color theme="1" tint="0.14999847407452621"/>
      <name val="Open Sans"/>
    </font>
    <font>
      <b/>
      <sz val="12"/>
      <color theme="1" tint="0.249977111117893"/>
      <name val="Open Sans"/>
    </font>
    <font>
      <sz val="10"/>
      <color theme="1"/>
      <name val="Open Sans"/>
    </font>
    <font>
      <sz val="10"/>
      <name val="Open Sans"/>
    </font>
    <font>
      <sz val="11"/>
      <name val="Open Sans"/>
    </font>
    <font>
      <b/>
      <sz val="11"/>
      <color theme="0" tint="-4.9989318521683403E-2"/>
      <name val="Open Sans"/>
    </font>
    <font>
      <b/>
      <sz val="11"/>
      <name val="Open Sans"/>
    </font>
    <font>
      <b/>
      <sz val="12"/>
      <color theme="0"/>
      <name val="Open Sans"/>
    </font>
    <font>
      <sz val="11"/>
      <color theme="0"/>
      <name val="Open Sans"/>
    </font>
    <font>
      <b/>
      <sz val="11"/>
      <color rgb="FFFF0000"/>
      <name val="Open Sans"/>
    </font>
    <font>
      <sz val="11"/>
      <color theme="1" tint="0.499984740745262"/>
      <name val="Open Sans"/>
    </font>
    <font>
      <b/>
      <sz val="12"/>
      <color theme="1" tint="0.499984740745262"/>
      <name val="Open Sans"/>
    </font>
    <font>
      <sz val="12"/>
      <color theme="1" tint="0.499984740745262"/>
      <name val="Open Sans"/>
    </font>
    <font>
      <b/>
      <sz val="11"/>
      <color theme="1" tint="0.499984740745262"/>
      <name val="Open Sans"/>
    </font>
    <font>
      <i/>
      <sz val="12"/>
      <color theme="1" tint="0.499984740745262"/>
      <name val="Open Sans"/>
    </font>
    <font>
      <b/>
      <sz val="10"/>
      <color theme="1" tint="0.34998626667073579"/>
      <name val="Open Sans"/>
    </font>
    <font>
      <b/>
      <sz val="10"/>
      <color theme="1" tint="0.499984740745262"/>
      <name val="Open Sans"/>
    </font>
    <font>
      <b/>
      <sz val="13"/>
      <color theme="0" tint="-4.9989318521683403E-2"/>
      <name val="Open Sans"/>
    </font>
    <font>
      <b/>
      <sz val="10"/>
      <color rgb="FFE41847"/>
      <name val="Open Sans"/>
    </font>
    <font>
      <b/>
      <sz val="9"/>
      <color rgb="FFE41847"/>
      <name val="Open Sans"/>
    </font>
    <font>
      <sz val="18"/>
      <color rgb="FFE41847"/>
      <name val="Open Sans"/>
    </font>
    <font>
      <b/>
      <sz val="18"/>
      <color rgb="FFE41847"/>
      <name val="Open Sans"/>
    </font>
    <font>
      <b/>
      <sz val="12"/>
      <color rgb="FFE41847"/>
      <name val="Open Sans"/>
    </font>
    <font>
      <sz val="20"/>
      <color rgb="FFE41847"/>
      <name val="Open Sans"/>
    </font>
    <font>
      <b/>
      <sz val="11"/>
      <color rgb="FFE41847"/>
      <name val="Open Sans"/>
    </font>
    <font>
      <sz val="10"/>
      <color theme="1" tint="0.499984740745262"/>
      <name val="Open Sans"/>
    </font>
    <font>
      <sz val="13"/>
      <color theme="1" tint="0.499984740745262"/>
      <name val="Open Sans"/>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192"/>
        <bgColor indexed="64"/>
      </patternFill>
    </fill>
    <fill>
      <patternFill patternType="solid">
        <fgColor rgb="FFE41847"/>
        <bgColor indexed="64"/>
      </patternFill>
    </fill>
    <fill>
      <patternFill patternType="solid">
        <fgColor rgb="FFF7F7F7"/>
        <bgColor indexed="64"/>
      </patternFill>
    </fill>
    <fill>
      <patternFill patternType="solid">
        <fgColor rgb="FFFAFAFA"/>
        <bgColor indexed="64"/>
      </patternFill>
    </fill>
  </fills>
  <borders count="15">
    <border>
      <left/>
      <right/>
      <top/>
      <bottom/>
      <diagonal/>
    </border>
    <border>
      <left style="medium">
        <color auto="1"/>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dashed">
        <color auto="1"/>
      </bottom>
      <diagonal/>
    </border>
    <border>
      <left style="thin">
        <color auto="1"/>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dashed">
        <color rgb="FFE41847"/>
      </bottom>
      <diagonal/>
    </border>
  </borders>
  <cellStyleXfs count="1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98">
    <xf numFmtId="0" fontId="0" fillId="0" borderId="0" xfId="0"/>
    <xf numFmtId="0" fontId="6" fillId="2" borderId="0" xfId="0" applyFont="1" applyFill="1" applyBorder="1" applyProtection="1"/>
    <xf numFmtId="0" fontId="6" fillId="0" borderId="0" xfId="0" applyFont="1" applyBorder="1" applyProtection="1"/>
    <xf numFmtId="0" fontId="8" fillId="2" borderId="0" xfId="0" applyFont="1" applyFill="1" applyBorder="1" applyProtection="1"/>
    <xf numFmtId="0" fontId="8"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left"/>
    </xf>
    <xf numFmtId="0" fontId="13" fillId="2" borderId="0" xfId="0" applyFont="1" applyFill="1" applyBorder="1" applyProtection="1"/>
    <xf numFmtId="164" fontId="14" fillId="2" borderId="0" xfId="0" applyNumberFormat="1" applyFont="1" applyFill="1" applyBorder="1" applyAlignment="1" applyProtection="1">
      <alignment horizontal="center"/>
    </xf>
    <xf numFmtId="0" fontId="13"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9" fontId="6" fillId="2" borderId="0" xfId="2" applyFont="1" applyFill="1" applyBorder="1" applyProtection="1"/>
    <xf numFmtId="165" fontId="6" fillId="2" borderId="0" xfId="0" applyNumberFormat="1" applyFont="1" applyFill="1" applyBorder="1" applyProtection="1"/>
    <xf numFmtId="0" fontId="21" fillId="2" borderId="9" xfId="0" applyFont="1" applyFill="1" applyBorder="1" applyAlignment="1" applyProtection="1">
      <alignment vertical="center" wrapText="1"/>
    </xf>
    <xf numFmtId="0" fontId="21" fillId="2" borderId="9" xfId="0" applyFont="1" applyFill="1" applyBorder="1" applyAlignment="1" applyProtection="1">
      <alignment horizontal="left" vertical="top" wrapText="1"/>
    </xf>
    <xf numFmtId="0" fontId="24" fillId="5" borderId="0" xfId="0" applyFont="1" applyFill="1" applyBorder="1" applyAlignment="1" applyProtection="1">
      <alignment horizontal="left"/>
    </xf>
    <xf numFmtId="0" fontId="6" fillId="2" borderId="0" xfId="0" applyFont="1" applyFill="1" applyBorder="1" applyAlignment="1" applyProtection="1">
      <alignment vertical="center"/>
    </xf>
    <xf numFmtId="0" fontId="6" fillId="0" borderId="0" xfId="0" applyFont="1" applyBorder="1" applyAlignment="1" applyProtection="1">
      <alignment vertical="center"/>
    </xf>
    <xf numFmtId="0" fontId="13" fillId="2" borderId="0" xfId="0" applyFont="1" applyFill="1" applyBorder="1" applyAlignment="1" applyProtection="1">
      <alignment vertical="center"/>
    </xf>
    <xf numFmtId="164" fontId="10" fillId="6" borderId="0" xfId="0" applyNumberFormat="1" applyFont="1" applyFill="1" applyBorder="1" applyAlignment="1" applyProtection="1">
      <alignment horizontal="center"/>
      <protection locked="0"/>
    </xf>
    <xf numFmtId="164" fontId="26" fillId="7" borderId="0" xfId="0" applyNumberFormat="1" applyFont="1" applyFill="1" applyBorder="1" applyAlignment="1" applyProtection="1">
      <alignment horizontal="center" vertical="center"/>
    </xf>
    <xf numFmtId="0" fontId="25" fillId="5" borderId="11" xfId="0" applyFont="1" applyFill="1" applyBorder="1" applyAlignment="1" applyProtection="1">
      <alignment horizontal="center" vertical="center"/>
    </xf>
    <xf numFmtId="0" fontId="11" fillId="6" borderId="12" xfId="0" applyNumberFormat="1" applyFont="1" applyFill="1" applyBorder="1" applyAlignment="1" applyProtection="1">
      <alignment horizontal="left" vertical="center" indent="1"/>
      <protection locked="0"/>
    </xf>
    <xf numFmtId="164" fontId="11" fillId="6" borderId="12" xfId="1" applyNumberFormat="1" applyFont="1" applyFill="1" applyBorder="1" applyAlignment="1" applyProtection="1">
      <alignment horizontal="center" vertical="center"/>
      <protection locked="0"/>
    </xf>
    <xf numFmtId="164" fontId="11" fillId="5" borderId="12" xfId="1" applyNumberFormat="1" applyFont="1" applyFill="1" applyBorder="1" applyAlignment="1" applyProtection="1">
      <alignment horizontal="center" vertical="center"/>
    </xf>
    <xf numFmtId="1" fontId="12" fillId="6" borderId="12" xfId="0" applyNumberFormat="1" applyFont="1" applyFill="1" applyBorder="1" applyAlignment="1" applyProtection="1">
      <alignment horizontal="center" vertical="center"/>
      <protection locked="0"/>
    </xf>
    <xf numFmtId="164" fontId="11" fillId="5" borderId="12" xfId="0" applyNumberFormat="1" applyFont="1" applyFill="1" applyBorder="1" applyAlignment="1" applyProtection="1">
      <alignment horizontal="center" vertical="center"/>
    </xf>
    <xf numFmtId="164" fontId="11" fillId="5" borderId="13" xfId="0" applyNumberFormat="1" applyFont="1" applyFill="1" applyBorder="1" applyAlignment="1" applyProtection="1">
      <alignment horizontal="center" vertical="center"/>
    </xf>
    <xf numFmtId="164" fontId="12" fillId="5" borderId="12" xfId="1" applyNumberFormat="1" applyFont="1" applyFill="1" applyBorder="1" applyAlignment="1" applyProtection="1">
      <alignment horizontal="center" vertical="center"/>
    </xf>
    <xf numFmtId="1" fontId="11" fillId="6" borderId="12" xfId="0" applyNumberFormat="1" applyFont="1" applyFill="1" applyBorder="1" applyAlignment="1" applyProtection="1">
      <alignment horizontal="center" vertical="center"/>
      <protection locked="0"/>
    </xf>
    <xf numFmtId="0" fontId="28" fillId="5" borderId="12" xfId="0" applyFont="1" applyFill="1" applyBorder="1" applyAlignment="1" applyProtection="1">
      <alignment horizontal="left" vertical="center" wrapText="1"/>
    </xf>
    <xf numFmtId="0" fontId="28" fillId="5" borderId="12" xfId="0" applyFont="1" applyFill="1" applyBorder="1" applyAlignment="1" applyProtection="1">
      <alignment horizontal="left" vertical="center" wrapText="1" indent="1"/>
    </xf>
    <xf numFmtId="0" fontId="28" fillId="5" borderId="13" xfId="0" applyFont="1" applyFill="1" applyBorder="1" applyAlignment="1" applyProtection="1">
      <alignment horizontal="left" vertical="center" wrapText="1" indent="1"/>
    </xf>
    <xf numFmtId="0" fontId="28" fillId="5" borderId="11" xfId="0" applyFont="1" applyFill="1" applyBorder="1" applyAlignment="1" applyProtection="1">
      <alignment horizontal="center" vertical="center" wrapText="1"/>
    </xf>
    <xf numFmtId="0" fontId="6" fillId="5" borderId="0" xfId="0" applyFont="1" applyFill="1" applyBorder="1" applyProtection="1"/>
    <xf numFmtId="0" fontId="13" fillId="5" borderId="0" xfId="0" applyFont="1" applyFill="1" applyBorder="1" applyProtection="1"/>
    <xf numFmtId="0" fontId="6" fillId="5" borderId="0" xfId="0" applyFont="1" applyFill="1" applyBorder="1" applyAlignment="1" applyProtection="1">
      <alignment vertical="center"/>
    </xf>
    <xf numFmtId="0" fontId="8" fillId="2" borderId="0" xfId="0" applyFont="1" applyFill="1" applyBorder="1" applyAlignment="1" applyProtection="1">
      <alignment horizontal="left" vertical="center" wrapText="1"/>
    </xf>
    <xf numFmtId="0" fontId="29" fillId="5" borderId="0" xfId="0" applyFont="1" applyFill="1" applyBorder="1" applyAlignment="1" applyProtection="1">
      <alignment horizontal="center" vertical="center" wrapText="1"/>
    </xf>
    <xf numFmtId="0" fontId="31" fillId="5" borderId="0" xfId="0" applyFont="1" applyFill="1" applyBorder="1" applyAlignment="1" applyProtection="1">
      <alignment horizontal="left" vertical="center"/>
    </xf>
    <xf numFmtId="9" fontId="10" fillId="5" borderId="0" xfId="2" applyFont="1" applyFill="1" applyBorder="1" applyAlignment="1" applyProtection="1">
      <alignment horizontal="center" vertical="center"/>
    </xf>
    <xf numFmtId="9" fontId="10" fillId="6" borderId="0" xfId="2" applyFont="1" applyFill="1" applyBorder="1" applyAlignment="1" applyProtection="1">
      <alignment horizontal="center" vertical="center"/>
      <protection locked="0"/>
    </xf>
    <xf numFmtId="0" fontId="33" fillId="5" borderId="0" xfId="0" applyFont="1" applyFill="1" applyBorder="1" applyAlignment="1" applyProtection="1">
      <alignment horizontal="left" vertical="center" wrapText="1" indent="1"/>
    </xf>
    <xf numFmtId="0" fontId="33" fillId="5" borderId="0" xfId="0" applyFont="1" applyFill="1" applyBorder="1" applyAlignment="1" applyProtection="1">
      <alignment horizontal="left" vertical="center" indent="1"/>
    </xf>
    <xf numFmtId="0" fontId="31" fillId="5" borderId="0" xfId="0" applyFont="1" applyFill="1" applyBorder="1" applyAlignment="1" applyProtection="1">
      <alignment horizontal="left" vertical="center" indent="1"/>
    </xf>
    <xf numFmtId="164" fontId="16" fillId="7" borderId="0" xfId="0" applyNumberFormat="1" applyFont="1" applyFill="1" applyBorder="1" applyAlignment="1" applyProtection="1">
      <alignment horizontal="center" vertical="center"/>
    </xf>
    <xf numFmtId="0" fontId="31" fillId="5" borderId="3" xfId="0" applyFont="1" applyFill="1" applyBorder="1" applyAlignment="1" applyProtection="1">
      <alignment horizontal="left" vertical="center" indent="1"/>
    </xf>
    <xf numFmtId="0" fontId="31" fillId="5" borderId="4" xfId="0" applyFont="1" applyFill="1" applyBorder="1" applyAlignment="1" applyProtection="1">
      <alignment horizontal="left" vertical="center" indent="1"/>
    </xf>
    <xf numFmtId="0" fontId="31" fillId="5" borderId="5" xfId="0" applyFont="1" applyFill="1" applyBorder="1" applyAlignment="1" applyProtection="1">
      <alignment horizontal="left" vertical="center" indent="1"/>
    </xf>
    <xf numFmtId="0" fontId="33" fillId="5" borderId="1" xfId="0" applyFont="1" applyFill="1" applyBorder="1" applyAlignment="1" applyProtection="1">
      <alignment horizontal="left" vertical="center" wrapText="1" indent="1"/>
    </xf>
    <xf numFmtId="164" fontId="16" fillId="7" borderId="6" xfId="0" applyNumberFormat="1" applyFont="1" applyFill="1" applyBorder="1" applyAlignment="1" applyProtection="1">
      <alignment horizontal="center" vertical="center"/>
    </xf>
    <xf numFmtId="0" fontId="33" fillId="5" borderId="7" xfId="0" applyFont="1" applyFill="1" applyBorder="1" applyAlignment="1" applyProtection="1">
      <alignment horizontal="left" vertical="center" indent="1"/>
    </xf>
    <xf numFmtId="0" fontId="33" fillId="5" borderId="2" xfId="0" applyFont="1" applyFill="1" applyBorder="1" applyAlignment="1" applyProtection="1">
      <alignment horizontal="left" vertical="center" indent="1"/>
    </xf>
    <xf numFmtId="164" fontId="16" fillId="7" borderId="2" xfId="0" applyNumberFormat="1" applyFont="1" applyFill="1" applyBorder="1" applyAlignment="1" applyProtection="1">
      <alignment horizontal="center" vertical="center"/>
    </xf>
    <xf numFmtId="164" fontId="16" fillId="7" borderId="8" xfId="0" applyNumberFormat="1" applyFont="1" applyFill="1" applyBorder="1" applyAlignment="1" applyProtection="1">
      <alignment horizontal="center" vertical="center"/>
    </xf>
    <xf numFmtId="0" fontId="16" fillId="7" borderId="1" xfId="0" applyFont="1" applyFill="1" applyBorder="1" applyAlignment="1" applyProtection="1">
      <alignment horizontal="left" vertical="center" wrapText="1" indent="1"/>
    </xf>
    <xf numFmtId="0" fontId="16" fillId="7" borderId="0" xfId="0" applyFont="1" applyFill="1" applyBorder="1" applyAlignment="1" applyProtection="1">
      <alignment horizontal="left" vertical="center" wrapText="1" indent="1"/>
    </xf>
    <xf numFmtId="0" fontId="6" fillId="2" borderId="0" xfId="0" applyFont="1" applyFill="1" applyBorder="1" applyAlignment="1" applyProtection="1">
      <alignment horizontal="left" vertical="center" indent="1"/>
    </xf>
    <xf numFmtId="0" fontId="11" fillId="2" borderId="14" xfId="0" applyFont="1" applyFill="1" applyBorder="1" applyProtection="1"/>
    <xf numFmtId="0" fontId="8" fillId="2" borderId="0" xfId="0" applyFont="1" applyFill="1" applyBorder="1" applyAlignment="1" applyProtection="1">
      <alignment horizontal="left" vertical="center" wrapText="1" indent="1"/>
    </xf>
    <xf numFmtId="0" fontId="8" fillId="2" borderId="10" xfId="0" applyFont="1" applyFill="1" applyBorder="1" applyAlignment="1" applyProtection="1">
      <alignment horizontal="left" vertical="center" wrapText="1" indent="1"/>
    </xf>
    <xf numFmtId="165" fontId="34" fillId="5" borderId="0" xfId="1" applyNumberFormat="1" applyFont="1" applyFill="1" applyBorder="1" applyAlignment="1" applyProtection="1">
      <alignment horizontal="right" vertical="center"/>
    </xf>
    <xf numFmtId="3" fontId="34" fillId="5" borderId="0" xfId="0" applyNumberFormat="1" applyFont="1" applyFill="1" applyBorder="1" applyAlignment="1" applyProtection="1">
      <alignment horizontal="right" vertical="center"/>
    </xf>
    <xf numFmtId="3" fontId="20" fillId="5" borderId="0" xfId="0" applyNumberFormat="1" applyFont="1" applyFill="1" applyBorder="1" applyAlignment="1" applyProtection="1">
      <alignment horizontal="right" vertical="center"/>
    </xf>
    <xf numFmtId="0" fontId="34" fillId="8" borderId="0" xfId="0" applyFont="1" applyFill="1" applyBorder="1" applyAlignment="1" applyProtection="1">
      <alignment horizontal="left" vertical="center" indent="1"/>
    </xf>
    <xf numFmtId="0" fontId="22" fillId="8" borderId="0" xfId="0" applyFont="1" applyFill="1" applyBorder="1" applyAlignment="1" applyProtection="1">
      <alignment horizontal="left" vertical="center" indent="1"/>
    </xf>
    <xf numFmtId="9" fontId="19" fillId="8" borderId="0" xfId="2" applyNumberFormat="1" applyFont="1" applyFill="1" applyBorder="1" applyAlignment="1" applyProtection="1">
      <alignment horizontal="center" vertical="center"/>
    </xf>
    <xf numFmtId="9" fontId="19" fillId="8" borderId="0" xfId="2" applyFont="1" applyFill="1" applyBorder="1" applyAlignment="1" applyProtection="1">
      <alignment horizontal="center" vertical="center"/>
    </xf>
    <xf numFmtId="9" fontId="19" fillId="8" borderId="0" xfId="2" applyNumberFormat="1" applyFont="1" applyFill="1" applyBorder="1" applyAlignment="1" applyProtection="1">
      <alignment horizontal="center" vertical="center" wrapText="1"/>
    </xf>
    <xf numFmtId="0" fontId="33" fillId="8" borderId="0" xfId="0" applyFont="1" applyFill="1" applyBorder="1" applyAlignment="1" applyProtection="1">
      <alignment horizontal="left" vertical="center" wrapText="1"/>
    </xf>
    <xf numFmtId="0" fontId="33" fillId="8" borderId="0" xfId="0" applyFont="1" applyFill="1" applyBorder="1" applyAlignment="1" applyProtection="1">
      <alignment horizontal="left" vertical="center" wrapText="1" indent="1"/>
    </xf>
    <xf numFmtId="0" fontId="22" fillId="9" borderId="0" xfId="0" applyFont="1" applyFill="1" applyBorder="1" applyAlignment="1" applyProtection="1">
      <alignment horizontal="left" vertical="center" indent="1"/>
    </xf>
    <xf numFmtId="0" fontId="22" fillId="9" borderId="0" xfId="0" applyFont="1" applyFill="1" applyBorder="1" applyAlignment="1" applyProtection="1">
      <alignment horizontal="left" vertical="center" wrapText="1" indent="1"/>
    </xf>
    <xf numFmtId="0" fontId="22" fillId="9" borderId="0" xfId="0" quotePrefix="1" applyFont="1" applyFill="1" applyBorder="1" applyAlignment="1" applyProtection="1">
      <alignment horizontal="left" vertical="center" wrapText="1" indent="1"/>
    </xf>
    <xf numFmtId="0" fontId="6" fillId="2" borderId="10" xfId="0" applyFont="1" applyFill="1" applyBorder="1" applyAlignment="1" applyProtection="1">
      <alignment horizontal="left" vertical="center" wrapText="1" indent="1"/>
    </xf>
    <xf numFmtId="0" fontId="6" fillId="2" borderId="0" xfId="0" applyFont="1" applyFill="1" applyBorder="1" applyAlignment="1" applyProtection="1">
      <alignment horizontal="left" vertical="center" wrapText="1" indent="1"/>
    </xf>
    <xf numFmtId="0" fontId="33" fillId="5" borderId="0" xfId="0" applyFont="1" applyFill="1" applyBorder="1" applyAlignment="1" applyProtection="1">
      <alignment horizontal="left" vertical="center" wrapText="1" indent="1"/>
    </xf>
    <xf numFmtId="9" fontId="6" fillId="5" borderId="0" xfId="2" applyFont="1" applyFill="1" applyBorder="1" applyAlignment="1" applyProtection="1">
      <alignment horizontal="center" vertical="center"/>
    </xf>
    <xf numFmtId="165" fontId="18" fillId="5" borderId="0" xfId="1" applyNumberFormat="1" applyFont="1" applyFill="1" applyBorder="1" applyAlignment="1" applyProtection="1">
      <alignment horizontal="left" vertical="center" indent="1"/>
    </xf>
    <xf numFmtId="0" fontId="25" fillId="5" borderId="0" xfId="0" applyFont="1" applyFill="1" applyBorder="1" applyAlignment="1" applyProtection="1">
      <alignment horizontal="left" vertical="center" indent="1"/>
    </xf>
    <xf numFmtId="0" fontId="25" fillId="5" borderId="0" xfId="0" applyFont="1" applyFill="1" applyBorder="1" applyAlignment="1" applyProtection="1">
      <alignment horizontal="left" vertical="center" wrapText="1" indent="1"/>
    </xf>
    <xf numFmtId="0" fontId="34" fillId="9" borderId="0" xfId="0" applyFont="1" applyFill="1" applyBorder="1" applyAlignment="1" applyProtection="1">
      <alignment horizontal="left" vertical="center" indent="1"/>
    </xf>
    <xf numFmtId="0" fontId="22" fillId="9" borderId="0" xfId="0" applyFont="1" applyFill="1" applyBorder="1" applyAlignment="1" applyProtection="1">
      <alignment horizontal="left" vertical="center" indent="1"/>
    </xf>
    <xf numFmtId="0" fontId="34" fillId="3" borderId="0" xfId="0" applyFont="1" applyFill="1" applyBorder="1" applyAlignment="1" applyProtection="1">
      <alignment horizontal="left" vertical="center" indent="1"/>
    </xf>
    <xf numFmtId="165" fontId="7" fillId="3" borderId="0" xfId="1" applyNumberFormat="1" applyFont="1" applyFill="1" applyBorder="1" applyAlignment="1" applyProtection="1">
      <alignment horizontal="left" vertical="center" indent="1"/>
    </xf>
    <xf numFmtId="0" fontId="34" fillId="4" borderId="0" xfId="0" applyFont="1" applyFill="1" applyBorder="1" applyAlignment="1" applyProtection="1">
      <alignment horizontal="left" vertical="center" indent="1"/>
    </xf>
    <xf numFmtId="165" fontId="20" fillId="3" borderId="0" xfId="1" applyNumberFormat="1" applyFont="1" applyFill="1" applyBorder="1" applyAlignment="1" applyProtection="1">
      <alignment horizontal="left" vertical="center" indent="1"/>
    </xf>
    <xf numFmtId="164" fontId="20" fillId="4" borderId="0" xfId="0" applyNumberFormat="1" applyFont="1" applyFill="1" applyBorder="1" applyAlignment="1" applyProtection="1">
      <alignment horizontal="left" vertical="center" indent="1"/>
    </xf>
    <xf numFmtId="9" fontId="20" fillId="5" borderId="0" xfId="2" applyFont="1" applyFill="1" applyBorder="1" applyAlignment="1" applyProtection="1">
      <alignment horizontal="left" vertical="center" indent="1"/>
    </xf>
    <xf numFmtId="164" fontId="20" fillId="5" borderId="0" xfId="0" applyNumberFormat="1" applyFont="1" applyFill="1" applyBorder="1" applyAlignment="1" applyProtection="1">
      <alignment horizontal="left" vertical="center" indent="1"/>
    </xf>
    <xf numFmtId="0" fontId="32" fillId="5" borderId="0" xfId="0" applyFont="1" applyFill="1" applyBorder="1" applyAlignment="1" applyProtection="1">
      <alignment horizontal="center" vertical="center"/>
    </xf>
    <xf numFmtId="0" fontId="6" fillId="9" borderId="0" xfId="0" applyFont="1" applyFill="1" applyBorder="1" applyAlignment="1" applyProtection="1">
      <alignment vertical="center"/>
    </xf>
    <xf numFmtId="0" fontId="29" fillId="9" borderId="0" xfId="0" applyFont="1" applyFill="1" applyBorder="1" applyAlignment="1" applyProtection="1">
      <alignment horizontal="left" vertical="center"/>
    </xf>
    <xf numFmtId="0" fontId="13" fillId="9" borderId="0" xfId="0" applyFont="1" applyFill="1" applyBorder="1" applyAlignment="1" applyProtection="1">
      <alignment vertical="center"/>
    </xf>
    <xf numFmtId="0" fontId="6" fillId="9" borderId="0" xfId="0" applyFont="1" applyFill="1" applyBorder="1" applyProtection="1"/>
    <xf numFmtId="0" fontId="8" fillId="9" borderId="0" xfId="0" applyFont="1" applyFill="1" applyBorder="1" applyAlignment="1" applyProtection="1">
      <alignment vertical="center"/>
    </xf>
    <xf numFmtId="0" fontId="30" fillId="9" borderId="0" xfId="0" applyFont="1" applyFill="1" applyBorder="1" applyAlignment="1" applyProtection="1">
      <alignment horizontal="left" vertical="center"/>
    </xf>
    <xf numFmtId="0" fontId="35" fillId="2" borderId="0" xfId="0" applyFont="1" applyFill="1" applyBorder="1" applyAlignment="1" applyProtection="1">
      <alignment horizontal="left" vertical="center"/>
    </xf>
  </cellXfs>
  <cellStyles count="15">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 name="Percent" xfId="2" builtinId="5"/>
  </cellStyles>
  <dxfs count="4">
    <dxf>
      <font>
        <color rgb="FFFF0000"/>
      </font>
    </dxf>
    <dxf>
      <font>
        <color rgb="FFFF0000"/>
      </font>
    </dxf>
    <dxf>
      <font>
        <b/>
        <i val="0"/>
      </font>
      <fill>
        <patternFill patternType="solid">
          <fgColor indexed="64"/>
          <bgColor rgb="FF008000"/>
        </patternFill>
      </fill>
    </dxf>
    <dxf>
      <font>
        <b/>
        <i val="0"/>
      </font>
      <fill>
        <patternFill>
          <bgColor rgb="FFC00000"/>
        </patternFill>
      </fill>
    </dxf>
  </dxfs>
  <tableStyles count="0" defaultTableStyle="TableStyleMedium9" defaultPivotStyle="PivotStyleLight16"/>
  <colors>
    <mruColors>
      <color rgb="FFED2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71438</xdr:colOff>
      <xdr:row>19</xdr:row>
      <xdr:rowOff>0</xdr:rowOff>
    </xdr:from>
    <xdr:to>
      <xdr:col>2</xdr:col>
      <xdr:colOff>71438</xdr:colOff>
      <xdr:row>19</xdr:row>
      <xdr:rowOff>194356</xdr:rowOff>
    </xdr:to>
    <xdr:pic>
      <xdr:nvPicPr>
        <xdr:cNvPr id="2" name="Imagem 3" descr="simbolo_branco.png"/>
        <xdr:cNvPicPr>
          <a:picLocks noChangeAspect="1"/>
        </xdr:cNvPicPr>
      </xdr:nvPicPr>
      <xdr:blipFill>
        <a:blip xmlns:r="http://schemas.openxmlformats.org/officeDocument/2006/relationships" r:embed="rId1" cstate="print"/>
        <a:srcRect l="20420" t="30514" r="20336" b="30489"/>
        <a:stretch>
          <a:fillRect/>
        </a:stretch>
      </xdr:blipFill>
      <xdr:spPr>
        <a:xfrm>
          <a:off x="2509838" y="4391025"/>
          <a:ext cx="0" cy="194356"/>
        </a:xfrm>
        <a:prstGeom prst="rect">
          <a:avLst/>
        </a:prstGeom>
      </xdr:spPr>
    </xdr:pic>
    <xdr:clientData/>
  </xdr:twoCellAnchor>
  <xdr:twoCellAnchor editAs="oneCell">
    <xdr:from>
      <xdr:col>3</xdr:col>
      <xdr:colOff>71438</xdr:colOff>
      <xdr:row>19</xdr:row>
      <xdr:rowOff>0</xdr:rowOff>
    </xdr:from>
    <xdr:to>
      <xdr:col>3</xdr:col>
      <xdr:colOff>71438</xdr:colOff>
      <xdr:row>19</xdr:row>
      <xdr:rowOff>194356</xdr:rowOff>
    </xdr:to>
    <xdr:pic>
      <xdr:nvPicPr>
        <xdr:cNvPr id="3" name="Imagem 3" descr="simbolo_branco.png"/>
        <xdr:cNvPicPr>
          <a:picLocks noChangeAspect="1"/>
        </xdr:cNvPicPr>
      </xdr:nvPicPr>
      <xdr:blipFill>
        <a:blip xmlns:r="http://schemas.openxmlformats.org/officeDocument/2006/relationships" r:embed="rId1" cstate="print"/>
        <a:srcRect l="20420" t="30514" r="20336" b="30489"/>
        <a:stretch>
          <a:fillRect/>
        </a:stretch>
      </xdr:blipFill>
      <xdr:spPr>
        <a:xfrm>
          <a:off x="3119438" y="4391025"/>
          <a:ext cx="0" cy="194356"/>
        </a:xfrm>
        <a:prstGeom prst="rect">
          <a:avLst/>
        </a:prstGeom>
      </xdr:spPr>
    </xdr:pic>
    <xdr:clientData/>
  </xdr:twoCellAnchor>
  <xdr:oneCellAnchor>
    <xdr:from>
      <xdr:col>9</xdr:col>
      <xdr:colOff>71438</xdr:colOff>
      <xdr:row>69</xdr:row>
      <xdr:rowOff>0</xdr:rowOff>
    </xdr:from>
    <xdr:ext cx="0" cy="194356"/>
    <xdr:pic>
      <xdr:nvPicPr>
        <xdr:cNvPr id="4" name="Imagem 3" descr="simbolo_branco.png"/>
        <xdr:cNvPicPr>
          <a:picLocks noChangeAspect="1"/>
        </xdr:cNvPicPr>
      </xdr:nvPicPr>
      <xdr:blipFill>
        <a:blip xmlns:r="http://schemas.openxmlformats.org/officeDocument/2006/relationships" r:embed="rId1" cstate="print"/>
        <a:srcRect l="20420" t="30514" r="20336" b="30489"/>
        <a:stretch>
          <a:fillRect/>
        </a:stretch>
      </xdr:blipFill>
      <xdr:spPr>
        <a:xfrm>
          <a:off x="1900238" y="5010150"/>
          <a:ext cx="0" cy="194356"/>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1" enableFormatConditionsCalculation="0"/>
  <dimension ref="A1:Q83"/>
  <sheetViews>
    <sheetView tabSelected="1" topLeftCell="A5" workbookViewId="0">
      <selection activeCell="D20" sqref="D20:F20"/>
    </sheetView>
  </sheetViews>
  <sheetFormatPr baseColWidth="10" defaultColWidth="0" defaultRowHeight="16" zeroHeight="1" x14ac:dyDescent="0"/>
  <cols>
    <col min="1" max="1" width="4.33203125" style="1" customWidth="1"/>
    <col min="2" max="3" width="9.1640625" style="1" customWidth="1"/>
    <col min="4" max="4" width="26.5" style="1" customWidth="1"/>
    <col min="5" max="5" width="9.1640625" style="1" customWidth="1"/>
    <col min="6" max="6" width="15.5" style="1" bestFit="1" customWidth="1"/>
    <col min="7" max="7" width="11.5" style="1" bestFit="1" customWidth="1"/>
    <col min="8" max="8" width="12.33203125" style="1" customWidth="1"/>
    <col min="9" max="9" width="11.5" style="1" bestFit="1" customWidth="1"/>
    <col min="10" max="10" width="11.5" style="1" customWidth="1"/>
    <col min="11" max="11" width="18.83203125" style="1" customWidth="1"/>
    <col min="12" max="12" width="18.33203125" style="1" customWidth="1"/>
    <col min="13" max="13" width="12.83203125" style="1" customWidth="1"/>
    <col min="14" max="14" width="13.33203125" style="1" bestFit="1" customWidth="1"/>
    <col min="15" max="15" width="7.6640625" style="1" customWidth="1"/>
    <col min="16" max="16" width="5.83203125" style="1" customWidth="1"/>
    <col min="17" max="16384" width="9.1640625" style="1" hidden="1"/>
  </cols>
  <sheetData>
    <row r="1" spans="1:17"/>
    <row r="2" spans="1:17" s="2" customFormat="1" ht="43" customHeight="1">
      <c r="A2" s="1"/>
      <c r="B2" s="90" t="s">
        <v>0</v>
      </c>
      <c r="C2" s="90"/>
      <c r="D2" s="90"/>
      <c r="E2" s="90"/>
      <c r="F2" s="90"/>
      <c r="G2" s="90"/>
      <c r="H2" s="90"/>
      <c r="I2" s="90"/>
      <c r="J2" s="90"/>
      <c r="K2" s="90"/>
      <c r="L2" s="90"/>
      <c r="M2" s="90"/>
      <c r="N2" s="90"/>
      <c r="O2" s="90"/>
      <c r="P2" s="1"/>
      <c r="Q2" s="1"/>
    </row>
    <row r="3" spans="1:17" s="3" customFormat="1"/>
    <row r="4" spans="1:17" s="3" customFormat="1" ht="282" customHeight="1">
      <c r="B4" s="13"/>
      <c r="C4" s="13"/>
      <c r="D4" s="13"/>
      <c r="E4" s="14" t="s">
        <v>52</v>
      </c>
      <c r="F4" s="14"/>
      <c r="G4" s="14"/>
      <c r="H4" s="14"/>
      <c r="I4" s="14"/>
      <c r="J4" s="14"/>
      <c r="K4" s="14"/>
      <c r="L4" s="14"/>
      <c r="M4" s="13"/>
      <c r="N4" s="13"/>
      <c r="O4" s="13"/>
    </row>
    <row r="5" spans="1:17" s="3" customFormat="1" ht="20" customHeight="1">
      <c r="C5" s="4"/>
      <c r="D5" s="4"/>
      <c r="E5" s="4"/>
      <c r="F5" s="4"/>
      <c r="G5" s="4"/>
      <c r="H5" s="4"/>
      <c r="I5" s="4"/>
      <c r="J5" s="4"/>
      <c r="K5" s="4"/>
      <c r="L5" s="4"/>
      <c r="M5" s="4"/>
      <c r="N5" s="4"/>
      <c r="O5" s="4"/>
    </row>
    <row r="6" spans="1:17" s="3" customFormat="1" ht="36" customHeight="1">
      <c r="B6" s="38" t="s">
        <v>48</v>
      </c>
      <c r="C6" s="38"/>
      <c r="D6" s="38"/>
      <c r="E6" s="38"/>
      <c r="F6" s="38"/>
      <c r="G6" s="38"/>
      <c r="H6" s="38"/>
      <c r="I6" s="38"/>
      <c r="J6" s="38"/>
      <c r="K6" s="38"/>
      <c r="L6" s="38"/>
      <c r="M6" s="38"/>
      <c r="N6" s="38"/>
      <c r="O6" s="38"/>
    </row>
    <row r="7" spans="1:17" s="3" customFormat="1"/>
    <row r="8" spans="1:17" s="3" customFormat="1"/>
    <row r="9" spans="1:17" s="95" customFormat="1" ht="28" customHeight="1">
      <c r="B9" s="92" t="s">
        <v>55</v>
      </c>
      <c r="C9" s="92"/>
      <c r="D9" s="92"/>
      <c r="E9" s="92"/>
      <c r="F9" s="92"/>
    </row>
    <row r="10" spans="1:17" s="3" customFormat="1" ht="33" customHeight="1">
      <c r="C10" s="97" t="s">
        <v>1</v>
      </c>
      <c r="D10" s="97"/>
      <c r="E10" s="97"/>
      <c r="F10" s="97"/>
    </row>
    <row r="11" spans="1:17" s="3" customFormat="1">
      <c r="C11" s="5"/>
      <c r="D11" s="5"/>
      <c r="E11" s="5"/>
      <c r="F11" s="5"/>
    </row>
    <row r="12" spans="1:17" s="3" customFormat="1" ht="18">
      <c r="C12" s="15" t="s">
        <v>2</v>
      </c>
      <c r="D12" s="15"/>
      <c r="E12" s="19">
        <v>20000</v>
      </c>
      <c r="F12" s="19"/>
    </row>
    <row r="13" spans="1:17" s="3" customFormat="1">
      <c r="C13" s="1"/>
      <c r="D13" s="1"/>
      <c r="E13" s="1"/>
      <c r="F13" s="1"/>
    </row>
    <row r="14" spans="1:17" s="3" customFormat="1" ht="18">
      <c r="C14" s="15" t="s">
        <v>11</v>
      </c>
      <c r="D14" s="15"/>
      <c r="E14" s="19">
        <v>5000</v>
      </c>
      <c r="F14" s="19"/>
    </row>
    <row r="15" spans="1:17" s="3" customFormat="1"/>
    <row r="16" spans="1:17" s="3" customFormat="1"/>
    <row r="17" spans="1:17" s="95" customFormat="1" ht="28" customHeight="1">
      <c r="B17" s="96" t="s">
        <v>56</v>
      </c>
      <c r="C17" s="96"/>
      <c r="D17" s="96"/>
    </row>
    <row r="18" spans="1:17" s="2" customFormat="1" ht="49" customHeight="1">
      <c r="A18" s="3"/>
      <c r="B18" s="3"/>
      <c r="C18" s="37" t="s">
        <v>57</v>
      </c>
      <c r="D18" s="37"/>
      <c r="E18" s="37"/>
      <c r="F18" s="37"/>
      <c r="G18" s="37"/>
      <c r="H18" s="37"/>
      <c r="I18" s="37"/>
      <c r="J18" s="37"/>
      <c r="K18" s="37"/>
      <c r="L18" s="37"/>
      <c r="M18" s="37"/>
      <c r="N18" s="37"/>
      <c r="O18" s="37"/>
      <c r="P18" s="3"/>
      <c r="Q18" s="3"/>
    </row>
    <row r="19" spans="1:17" s="2" customFormat="1">
      <c r="A19" s="3"/>
      <c r="B19" s="3"/>
      <c r="C19" s="3"/>
      <c r="D19" s="3"/>
      <c r="E19" s="3"/>
      <c r="F19" s="3"/>
      <c r="G19" s="3"/>
      <c r="H19" s="3"/>
      <c r="I19" s="3"/>
      <c r="J19" s="3"/>
      <c r="K19" s="3"/>
      <c r="L19" s="3"/>
      <c r="M19" s="3"/>
      <c r="N19" s="3"/>
      <c r="O19" s="3"/>
      <c r="P19" s="3"/>
      <c r="Q19" s="3"/>
    </row>
    <row r="20" spans="1:17" s="2" customFormat="1" ht="39" customHeight="1">
      <c r="A20" s="1"/>
      <c r="B20" s="1"/>
      <c r="C20" s="33" t="s">
        <v>54</v>
      </c>
      <c r="D20" s="30" t="s">
        <v>3</v>
      </c>
      <c r="E20" s="30"/>
      <c r="F20" s="30"/>
      <c r="G20" s="31" t="s">
        <v>53</v>
      </c>
      <c r="H20" s="31" t="s">
        <v>8</v>
      </c>
      <c r="I20" s="31" t="s">
        <v>4</v>
      </c>
      <c r="J20" s="31" t="s">
        <v>5</v>
      </c>
      <c r="K20" s="31" t="s">
        <v>6</v>
      </c>
      <c r="L20" s="31" t="s">
        <v>7</v>
      </c>
      <c r="M20" s="31" t="s">
        <v>8</v>
      </c>
      <c r="N20" s="32" t="s">
        <v>9</v>
      </c>
      <c r="O20" s="34"/>
      <c r="P20" s="1"/>
      <c r="Q20" s="1"/>
    </row>
    <row r="21" spans="1:17" s="17" customFormat="1" ht="23" customHeight="1">
      <c r="A21" s="16"/>
      <c r="B21" s="16"/>
      <c r="C21" s="21">
        <v>1</v>
      </c>
      <c r="D21" s="22" t="s">
        <v>24</v>
      </c>
      <c r="E21" s="22"/>
      <c r="F21" s="22"/>
      <c r="G21" s="23">
        <v>10</v>
      </c>
      <c r="H21" s="23">
        <v>0</v>
      </c>
      <c r="I21" s="24">
        <f t="shared" ref="I21:I30" si="0">G21-H21</f>
        <v>10</v>
      </c>
      <c r="J21" s="25">
        <v>50</v>
      </c>
      <c r="K21" s="25">
        <v>0</v>
      </c>
      <c r="L21" s="26">
        <f t="shared" ref="L21:L30" si="1">J21*G21</f>
        <v>500</v>
      </c>
      <c r="M21" s="26">
        <f t="shared" ref="M21:M30" si="2">H21*J21</f>
        <v>0</v>
      </c>
      <c r="N21" s="27">
        <f t="shared" ref="N21:N30" si="3">L21-M21</f>
        <v>500</v>
      </c>
      <c r="O21" s="36"/>
      <c r="P21" s="16"/>
      <c r="Q21" s="16">
        <f>IF(G21&lt;=20,1, IF(AND(G21&gt;20,G21&lt;=35),2, IF(AND(G21&gt;35,G21&lt;=50),3, IF(AND(G21&gt;50,G21&lt;=70),4, IF(AND(G21&gt;70,G21&lt;=100),5, IF(AND(G21&gt;100,G21&lt;=200),6, IF(AND(G21&gt;200,G21&lt;=350),7, IF(AND(G21&gt;350,G21&lt;=500),8, IF(AND(G21&gt;500,G21&lt;=1000),9, IF(G21&gt;1000,10, 10000))))))))))</f>
        <v>1</v>
      </c>
    </row>
    <row r="22" spans="1:17" s="17" customFormat="1" ht="23" customHeight="1">
      <c r="A22" s="16"/>
      <c r="B22" s="16"/>
      <c r="C22" s="21">
        <v>2</v>
      </c>
      <c r="D22" s="22" t="s">
        <v>25</v>
      </c>
      <c r="E22" s="22"/>
      <c r="F22" s="22"/>
      <c r="G22" s="23">
        <v>30</v>
      </c>
      <c r="H22" s="23">
        <v>10</v>
      </c>
      <c r="I22" s="24">
        <f t="shared" si="0"/>
        <v>20</v>
      </c>
      <c r="J22" s="25">
        <v>50</v>
      </c>
      <c r="K22" s="25">
        <v>0</v>
      </c>
      <c r="L22" s="26">
        <f t="shared" si="1"/>
        <v>1500</v>
      </c>
      <c r="M22" s="26">
        <f t="shared" si="2"/>
        <v>500</v>
      </c>
      <c r="N22" s="27">
        <f t="shared" si="3"/>
        <v>1000</v>
      </c>
      <c r="O22" s="36"/>
      <c r="P22" s="16"/>
      <c r="Q22" s="16">
        <f t="shared" ref="Q22:Q30" si="4">IF(G22&lt;=20,1, IF(AND(G22&gt;20,G22&lt;=35),2, IF(AND(G22&gt;35,G22&lt;=50),3, IF(AND(G22&gt;50,G22&lt;=70),4, IF(AND(G22&gt;70,G22&lt;=100),5, IF(AND(G22&gt;100,G22&lt;=200),6, IF(AND(G22&gt;200,G22&lt;=350),7, IF(AND(G22&gt;350,G22&lt;=500),8, IF(AND(G22&gt;500,G22&lt;=1000),9, IF(G22&gt;1000,10, 10000))))))))))</f>
        <v>2</v>
      </c>
    </row>
    <row r="23" spans="1:17" s="17" customFormat="1" ht="23" customHeight="1">
      <c r="A23" s="16"/>
      <c r="B23" s="16"/>
      <c r="C23" s="21">
        <v>3</v>
      </c>
      <c r="D23" s="22" t="s">
        <v>26</v>
      </c>
      <c r="E23" s="22"/>
      <c r="F23" s="22"/>
      <c r="G23" s="23">
        <v>60</v>
      </c>
      <c r="H23" s="23">
        <v>10</v>
      </c>
      <c r="I23" s="24">
        <f t="shared" si="0"/>
        <v>50</v>
      </c>
      <c r="J23" s="25">
        <v>80</v>
      </c>
      <c r="K23" s="25">
        <v>0</v>
      </c>
      <c r="L23" s="26">
        <f t="shared" si="1"/>
        <v>4800</v>
      </c>
      <c r="M23" s="26">
        <f t="shared" si="2"/>
        <v>800</v>
      </c>
      <c r="N23" s="27">
        <f t="shared" si="3"/>
        <v>4000</v>
      </c>
      <c r="O23" s="36"/>
      <c r="P23" s="16"/>
      <c r="Q23" s="16">
        <f t="shared" si="4"/>
        <v>4</v>
      </c>
    </row>
    <row r="24" spans="1:17" s="17" customFormat="1" ht="23" customHeight="1">
      <c r="A24" s="16"/>
      <c r="B24" s="16"/>
      <c r="C24" s="21">
        <v>4</v>
      </c>
      <c r="D24" s="22" t="s">
        <v>27</v>
      </c>
      <c r="E24" s="22"/>
      <c r="F24" s="22"/>
      <c r="G24" s="23">
        <v>80</v>
      </c>
      <c r="H24" s="23">
        <v>20</v>
      </c>
      <c r="I24" s="24">
        <f t="shared" si="0"/>
        <v>60</v>
      </c>
      <c r="J24" s="25">
        <v>40</v>
      </c>
      <c r="K24" s="25">
        <v>0</v>
      </c>
      <c r="L24" s="26">
        <f t="shared" si="1"/>
        <v>3200</v>
      </c>
      <c r="M24" s="26">
        <f t="shared" si="2"/>
        <v>800</v>
      </c>
      <c r="N24" s="27">
        <f t="shared" si="3"/>
        <v>2400</v>
      </c>
      <c r="O24" s="36"/>
      <c r="P24" s="16"/>
      <c r="Q24" s="16">
        <f t="shared" si="4"/>
        <v>5</v>
      </c>
    </row>
    <row r="25" spans="1:17" s="17" customFormat="1" ht="23" customHeight="1">
      <c r="A25" s="16"/>
      <c r="B25" s="16"/>
      <c r="C25" s="21">
        <v>5</v>
      </c>
      <c r="D25" s="22" t="s">
        <v>28</v>
      </c>
      <c r="E25" s="22"/>
      <c r="F25" s="22"/>
      <c r="G25" s="23">
        <v>120</v>
      </c>
      <c r="H25" s="23">
        <v>35</v>
      </c>
      <c r="I25" s="28">
        <f t="shared" si="0"/>
        <v>85</v>
      </c>
      <c r="J25" s="25">
        <v>30</v>
      </c>
      <c r="K25" s="25">
        <v>50</v>
      </c>
      <c r="L25" s="26">
        <f t="shared" si="1"/>
        <v>3600</v>
      </c>
      <c r="M25" s="26">
        <f t="shared" si="2"/>
        <v>1050</v>
      </c>
      <c r="N25" s="27">
        <f t="shared" si="3"/>
        <v>2550</v>
      </c>
      <c r="O25" s="36"/>
      <c r="P25" s="16"/>
      <c r="Q25" s="16">
        <f t="shared" si="4"/>
        <v>6</v>
      </c>
    </row>
    <row r="26" spans="1:17" s="17" customFormat="1" ht="23" customHeight="1">
      <c r="A26" s="16"/>
      <c r="B26" s="16"/>
      <c r="C26" s="21">
        <v>6</v>
      </c>
      <c r="D26" s="22" t="s">
        <v>29</v>
      </c>
      <c r="E26" s="22"/>
      <c r="F26" s="22"/>
      <c r="G26" s="23">
        <v>250</v>
      </c>
      <c r="H26" s="23">
        <v>40</v>
      </c>
      <c r="I26" s="28">
        <f t="shared" si="0"/>
        <v>210</v>
      </c>
      <c r="J26" s="25">
        <v>16</v>
      </c>
      <c r="K26" s="25">
        <v>10</v>
      </c>
      <c r="L26" s="26">
        <f t="shared" si="1"/>
        <v>4000</v>
      </c>
      <c r="M26" s="26">
        <f t="shared" si="2"/>
        <v>640</v>
      </c>
      <c r="N26" s="27">
        <f t="shared" si="3"/>
        <v>3360</v>
      </c>
      <c r="O26" s="36"/>
      <c r="P26" s="16"/>
      <c r="Q26" s="16">
        <f t="shared" si="4"/>
        <v>7</v>
      </c>
    </row>
    <row r="27" spans="1:17" s="17" customFormat="1" ht="23" customHeight="1">
      <c r="A27" s="16"/>
      <c r="B27" s="18"/>
      <c r="C27" s="21">
        <v>7</v>
      </c>
      <c r="D27" s="22" t="s">
        <v>30</v>
      </c>
      <c r="E27" s="22"/>
      <c r="F27" s="22"/>
      <c r="G27" s="23">
        <v>360</v>
      </c>
      <c r="H27" s="23">
        <v>60</v>
      </c>
      <c r="I27" s="28">
        <f t="shared" si="0"/>
        <v>300</v>
      </c>
      <c r="J27" s="25">
        <v>8</v>
      </c>
      <c r="K27" s="25">
        <v>10</v>
      </c>
      <c r="L27" s="26">
        <f t="shared" si="1"/>
        <v>2880</v>
      </c>
      <c r="M27" s="26">
        <f t="shared" si="2"/>
        <v>480</v>
      </c>
      <c r="N27" s="27">
        <f t="shared" si="3"/>
        <v>2400</v>
      </c>
      <c r="O27" s="36"/>
      <c r="P27" s="16"/>
      <c r="Q27" s="16">
        <f t="shared" si="4"/>
        <v>8</v>
      </c>
    </row>
    <row r="28" spans="1:17" s="17" customFormat="1" ht="23" customHeight="1">
      <c r="A28" s="16"/>
      <c r="B28" s="18"/>
      <c r="C28" s="21">
        <v>8</v>
      </c>
      <c r="D28" s="22" t="s">
        <v>31</v>
      </c>
      <c r="E28" s="22"/>
      <c r="F28" s="22"/>
      <c r="G28" s="23">
        <v>600</v>
      </c>
      <c r="H28" s="23">
        <v>100</v>
      </c>
      <c r="I28" s="28">
        <f t="shared" si="0"/>
        <v>500</v>
      </c>
      <c r="J28" s="25">
        <v>5</v>
      </c>
      <c r="K28" s="25">
        <v>0</v>
      </c>
      <c r="L28" s="26">
        <f t="shared" si="1"/>
        <v>3000</v>
      </c>
      <c r="M28" s="26">
        <f t="shared" si="2"/>
        <v>500</v>
      </c>
      <c r="N28" s="27">
        <f t="shared" si="3"/>
        <v>2500</v>
      </c>
      <c r="O28" s="36"/>
      <c r="P28" s="16"/>
      <c r="Q28" s="16">
        <f t="shared" si="4"/>
        <v>9</v>
      </c>
    </row>
    <row r="29" spans="1:17" s="17" customFormat="1" ht="23" customHeight="1">
      <c r="A29" s="16"/>
      <c r="B29" s="18"/>
      <c r="C29" s="21">
        <v>9</v>
      </c>
      <c r="D29" s="22" t="s">
        <v>32</v>
      </c>
      <c r="E29" s="22"/>
      <c r="F29" s="22"/>
      <c r="G29" s="23">
        <v>1500</v>
      </c>
      <c r="H29" s="23">
        <v>200</v>
      </c>
      <c r="I29" s="28">
        <f t="shared" si="0"/>
        <v>1300</v>
      </c>
      <c r="J29" s="25">
        <v>4</v>
      </c>
      <c r="K29" s="25">
        <v>0</v>
      </c>
      <c r="L29" s="26">
        <f t="shared" si="1"/>
        <v>6000</v>
      </c>
      <c r="M29" s="26">
        <f t="shared" si="2"/>
        <v>800</v>
      </c>
      <c r="N29" s="27">
        <f t="shared" si="3"/>
        <v>5200</v>
      </c>
      <c r="O29" s="36"/>
      <c r="P29" s="16"/>
      <c r="Q29" s="16">
        <f t="shared" si="4"/>
        <v>10</v>
      </c>
    </row>
    <row r="30" spans="1:17" s="17" customFormat="1" ht="23" customHeight="1">
      <c r="A30" s="16"/>
      <c r="B30" s="18"/>
      <c r="C30" s="21">
        <v>10</v>
      </c>
      <c r="D30" s="22" t="s">
        <v>37</v>
      </c>
      <c r="E30" s="22"/>
      <c r="F30" s="22"/>
      <c r="G30" s="23">
        <v>5000</v>
      </c>
      <c r="H30" s="23">
        <v>300</v>
      </c>
      <c r="I30" s="28">
        <f t="shared" si="0"/>
        <v>4700</v>
      </c>
      <c r="J30" s="29">
        <v>2</v>
      </c>
      <c r="K30" s="25">
        <v>0</v>
      </c>
      <c r="L30" s="26">
        <f t="shared" si="1"/>
        <v>10000</v>
      </c>
      <c r="M30" s="26">
        <f t="shared" si="2"/>
        <v>600</v>
      </c>
      <c r="N30" s="27">
        <f t="shared" si="3"/>
        <v>9400</v>
      </c>
      <c r="O30" s="36"/>
      <c r="P30" s="16"/>
      <c r="Q30" s="16">
        <f t="shared" si="4"/>
        <v>10</v>
      </c>
    </row>
    <row r="31" spans="1:17" s="2" customFormat="1" ht="22" customHeight="1">
      <c r="A31" s="1"/>
      <c r="B31" s="6"/>
      <c r="C31" s="35"/>
      <c r="D31" s="35"/>
      <c r="E31" s="35"/>
      <c r="F31" s="35"/>
      <c r="G31" s="35"/>
      <c r="H31" s="35"/>
      <c r="I31" s="35"/>
      <c r="J31" s="35"/>
      <c r="K31" s="20" t="s">
        <v>36</v>
      </c>
      <c r="L31" s="20">
        <f>SUM(L21:L30)</f>
        <v>39480</v>
      </c>
      <c r="M31" s="34"/>
      <c r="N31" s="34"/>
      <c r="O31" s="34"/>
      <c r="P31" s="1"/>
      <c r="Q31" s="1"/>
    </row>
    <row r="32" spans="1:17" s="2" customFormat="1">
      <c r="A32" s="1"/>
      <c r="B32" s="6"/>
      <c r="C32" s="6"/>
      <c r="D32" s="6"/>
      <c r="E32" s="6"/>
      <c r="F32" s="6"/>
      <c r="G32" s="6"/>
      <c r="H32" s="6"/>
      <c r="I32" s="6"/>
      <c r="J32" s="6"/>
      <c r="K32" s="1"/>
      <c r="L32" s="1"/>
      <c r="M32" s="7"/>
      <c r="N32" s="7"/>
      <c r="O32" s="1"/>
      <c r="P32" s="1"/>
      <c r="Q32" s="1"/>
    </row>
    <row r="33" spans="1:17" s="2" customFormat="1">
      <c r="A33" s="1"/>
      <c r="B33" s="6"/>
      <c r="C33" s="6"/>
      <c r="D33" s="6"/>
      <c r="E33" s="6"/>
      <c r="F33" s="6"/>
      <c r="G33" s="6"/>
      <c r="H33" s="6"/>
      <c r="I33" s="6"/>
      <c r="J33" s="6"/>
      <c r="K33" s="6"/>
      <c r="L33" s="6"/>
      <c r="M33" s="6"/>
      <c r="N33" s="6"/>
      <c r="O33" s="6"/>
      <c r="P33" s="1"/>
      <c r="Q33" s="1"/>
    </row>
    <row r="34" spans="1:17" s="94" customFormat="1" ht="31" customHeight="1">
      <c r="A34" s="91"/>
      <c r="B34" s="92" t="s">
        <v>58</v>
      </c>
      <c r="C34" s="92"/>
      <c r="D34" s="92"/>
      <c r="E34" s="93"/>
      <c r="F34" s="93"/>
      <c r="G34" s="93"/>
      <c r="H34" s="93"/>
      <c r="I34" s="93"/>
      <c r="J34" s="93"/>
      <c r="K34" s="93"/>
      <c r="L34" s="93"/>
      <c r="M34" s="93"/>
      <c r="N34" s="93"/>
      <c r="O34" s="93"/>
      <c r="P34" s="91"/>
    </row>
    <row r="35" spans="1:17" s="2" customFormat="1" ht="106" customHeight="1">
      <c r="A35" s="1"/>
      <c r="B35" s="6"/>
      <c r="C35" s="8" t="s">
        <v>51</v>
      </c>
      <c r="D35" s="8"/>
      <c r="E35" s="8"/>
      <c r="F35" s="8"/>
      <c r="G35" s="8"/>
      <c r="H35" s="8"/>
      <c r="I35" s="8"/>
      <c r="J35" s="8"/>
      <c r="K35" s="8"/>
      <c r="L35" s="8"/>
      <c r="M35" s="8"/>
      <c r="N35" s="8"/>
      <c r="O35" s="8"/>
      <c r="P35" s="1"/>
      <c r="Q35" s="1"/>
    </row>
    <row r="36" spans="1:17" s="2" customFormat="1">
      <c r="A36" s="1"/>
      <c r="B36" s="6"/>
      <c r="C36" s="6"/>
      <c r="D36" s="6"/>
      <c r="E36" s="6"/>
      <c r="F36" s="6"/>
      <c r="G36" s="6"/>
      <c r="H36" s="6"/>
      <c r="I36" s="6"/>
      <c r="J36" s="6"/>
      <c r="K36" s="6"/>
      <c r="L36" s="6"/>
      <c r="M36" s="1"/>
      <c r="N36" s="1"/>
      <c r="O36" s="6"/>
      <c r="P36" s="1"/>
      <c r="Q36" s="1"/>
    </row>
    <row r="37" spans="1:17" s="17" customFormat="1" ht="23" customHeight="1">
      <c r="A37" s="16"/>
      <c r="B37" s="18"/>
      <c r="C37" s="44" t="s">
        <v>10</v>
      </c>
      <c r="D37" s="44"/>
      <c r="E37" s="39"/>
      <c r="F37" s="39"/>
      <c r="G37" s="16"/>
      <c r="H37" s="16"/>
      <c r="I37" s="16"/>
      <c r="J37" s="16"/>
      <c r="K37" s="16"/>
      <c r="L37" s="16"/>
      <c r="M37" s="16"/>
      <c r="N37" s="16"/>
      <c r="O37" s="16"/>
      <c r="P37" s="16"/>
      <c r="Q37" s="16"/>
    </row>
    <row r="38" spans="1:17" s="17" customFormat="1" ht="23" customHeight="1">
      <c r="A38" s="16"/>
      <c r="B38" s="18"/>
      <c r="C38" s="79" t="s">
        <v>12</v>
      </c>
      <c r="D38" s="79"/>
      <c r="E38" s="40">
        <f>'Meta Mínima'!E71</f>
        <v>0.15628166160081053</v>
      </c>
      <c r="F38" s="40"/>
      <c r="G38" s="16"/>
      <c r="H38" s="16"/>
      <c r="I38" s="16"/>
      <c r="J38" s="16"/>
      <c r="K38" s="16"/>
      <c r="L38" s="16"/>
      <c r="M38" s="16"/>
      <c r="N38" s="16"/>
      <c r="O38" s="16"/>
      <c r="P38" s="16"/>
      <c r="Q38" s="16"/>
    </row>
    <row r="39" spans="1:17" s="17" customFormat="1" ht="39" customHeight="1">
      <c r="A39" s="16"/>
      <c r="B39" s="18"/>
      <c r="C39" s="80" t="s">
        <v>67</v>
      </c>
      <c r="D39" s="79"/>
      <c r="E39" s="40">
        <v>0.05</v>
      </c>
      <c r="F39" s="40"/>
      <c r="G39" s="16"/>
      <c r="H39" s="16"/>
      <c r="I39" s="16"/>
      <c r="J39" s="16"/>
      <c r="K39" s="16"/>
      <c r="L39" s="16"/>
      <c r="M39" s="16"/>
      <c r="N39" s="16"/>
      <c r="O39" s="16"/>
      <c r="P39" s="16"/>
      <c r="Q39" s="16"/>
    </row>
    <row r="40" spans="1:17" s="17" customFormat="1" ht="23" customHeight="1">
      <c r="A40" s="16"/>
      <c r="B40" s="18"/>
      <c r="C40" s="79" t="s">
        <v>13</v>
      </c>
      <c r="D40" s="79"/>
      <c r="E40" s="41">
        <v>0.05</v>
      </c>
      <c r="F40" s="41"/>
      <c r="G40" s="16"/>
      <c r="H40" s="16"/>
      <c r="I40" s="16"/>
      <c r="J40" s="16"/>
      <c r="K40" s="16"/>
      <c r="L40" s="16"/>
      <c r="M40" s="16"/>
      <c r="N40" s="16"/>
      <c r="O40" s="16"/>
      <c r="P40" s="16"/>
      <c r="Q40" s="16"/>
    </row>
    <row r="41" spans="1:17" s="17" customFormat="1" ht="27" customHeight="1" thickBot="1">
      <c r="A41" s="16"/>
      <c r="B41" s="18"/>
      <c r="C41" s="79" t="s">
        <v>14</v>
      </c>
      <c r="D41" s="79"/>
      <c r="E41" s="41">
        <v>0.08</v>
      </c>
      <c r="F41" s="41"/>
      <c r="G41" s="16"/>
      <c r="H41" s="16"/>
      <c r="I41" s="16"/>
      <c r="J41" s="16"/>
      <c r="K41" s="16"/>
      <c r="L41" s="16"/>
      <c r="M41" s="16"/>
      <c r="N41" s="16"/>
      <c r="O41" s="16"/>
      <c r="P41" s="16"/>
      <c r="Q41" s="16"/>
    </row>
    <row r="42" spans="1:17" s="2" customFormat="1" ht="38" customHeight="1">
      <c r="A42" s="1"/>
      <c r="B42" s="6"/>
      <c r="C42" s="46" t="s">
        <v>22</v>
      </c>
      <c r="D42" s="47"/>
      <c r="E42" s="47"/>
      <c r="F42" s="48"/>
      <c r="G42" s="55" t="str">
        <f>IF(E43=0,"",IF(E43&lt;'Meta Mínima'!E79,"De acordo com seus custos, suas recompensas e sua projeção de arrecadação, esse é o valor que indicamos para a meta de sua campanha.","Será necessário replanejar. A sua arrecadação planejada acima não consegue dar conta dos custos. Pense em diminuir os custos de confecção de suas recompensas ou mudar o escopo do seu projeto."))</f>
        <v>De acordo com seus custos, suas recompensas e sua projeção de arrecadação, esse é o valor que indicamos para a meta de sua campanha.</v>
      </c>
      <c r="H42" s="56"/>
      <c r="I42" s="56"/>
      <c r="J42" s="56"/>
      <c r="K42" s="56"/>
      <c r="L42" s="9"/>
      <c r="M42" s="1"/>
      <c r="N42" s="1"/>
      <c r="O42" s="9"/>
      <c r="P42" s="1"/>
      <c r="Q42" s="1"/>
    </row>
    <row r="43" spans="1:17" s="2" customFormat="1" ht="23" customHeight="1">
      <c r="A43" s="1"/>
      <c r="B43" s="6"/>
      <c r="C43" s="49" t="s">
        <v>59</v>
      </c>
      <c r="D43" s="43"/>
      <c r="E43" s="45">
        <f>IF('Meta Mínima'!E79=0,,IF((E12+E14)/(1-E38-E39-E40-E41)&lt;'Meta Mínima'!E79,(E12+E14)/(1-E38-E39-E40-E41),"Incompatível"))</f>
        <v>37666.580164557541</v>
      </c>
      <c r="F43" s="50"/>
      <c r="G43" s="55"/>
      <c r="H43" s="56"/>
      <c r="I43" s="56"/>
      <c r="J43" s="56"/>
      <c r="K43" s="56"/>
      <c r="L43" s="10"/>
      <c r="M43" s="1"/>
      <c r="N43" s="1"/>
      <c r="O43" s="10"/>
      <c r="P43" s="10"/>
      <c r="Q43" s="1"/>
    </row>
    <row r="44" spans="1:17" s="2" customFormat="1" ht="23" customHeight="1" thickBot="1">
      <c r="A44" s="1"/>
      <c r="B44" s="6"/>
      <c r="C44" s="51"/>
      <c r="D44" s="52"/>
      <c r="E44" s="53"/>
      <c r="F44" s="54"/>
      <c r="G44" s="55"/>
      <c r="H44" s="56"/>
      <c r="I44" s="56"/>
      <c r="J44" s="56"/>
      <c r="K44" s="56"/>
      <c r="L44" s="10"/>
      <c r="M44" s="1"/>
      <c r="N44" s="1"/>
      <c r="O44" s="10"/>
      <c r="P44" s="10"/>
      <c r="Q44" s="1"/>
    </row>
    <row r="45" spans="1:17" s="2" customFormat="1">
      <c r="A45" s="1"/>
      <c r="B45" s="6"/>
      <c r="C45" s="3"/>
      <c r="D45" s="3"/>
      <c r="E45" s="3"/>
      <c r="F45" s="3"/>
      <c r="G45" s="4"/>
      <c r="H45" s="4"/>
      <c r="I45" s="4"/>
      <c r="J45" s="4"/>
      <c r="K45" s="4"/>
      <c r="L45" s="4"/>
      <c r="M45" s="1"/>
      <c r="N45" s="1"/>
      <c r="O45" s="4"/>
      <c r="P45" s="1"/>
      <c r="Q45" s="1"/>
    </row>
    <row r="46" spans="1:17" s="2" customFormat="1">
      <c r="A46" s="1"/>
      <c r="B46" s="6"/>
      <c r="C46" s="5"/>
      <c r="D46" s="5"/>
      <c r="E46" s="3"/>
      <c r="F46" s="3"/>
      <c r="G46" s="4"/>
      <c r="H46" s="4"/>
      <c r="I46" s="4"/>
      <c r="J46" s="4"/>
      <c r="K46" s="4"/>
      <c r="L46" s="4"/>
      <c r="M46" s="1"/>
      <c r="N46" s="1"/>
      <c r="O46" s="4"/>
      <c r="P46" s="1"/>
      <c r="Q46" s="1"/>
    </row>
    <row r="47" spans="1:17" s="2" customFormat="1">
      <c r="A47" s="1"/>
      <c r="B47" s="6"/>
      <c r="C47" s="3"/>
      <c r="D47" s="3"/>
      <c r="E47" s="3"/>
      <c r="F47" s="3"/>
      <c r="G47" s="4"/>
      <c r="H47" s="4"/>
      <c r="I47" s="4"/>
      <c r="J47" s="4"/>
      <c r="K47" s="4"/>
      <c r="L47" s="4"/>
      <c r="M47" s="4"/>
      <c r="N47" s="4"/>
      <c r="O47" s="4"/>
      <c r="P47" s="1"/>
      <c r="Q47" s="1"/>
    </row>
    <row r="48" spans="1:17" s="2" customFormat="1">
      <c r="A48" s="1"/>
      <c r="B48" s="6"/>
      <c r="C48" s="3"/>
      <c r="D48" s="3"/>
      <c r="E48" s="3"/>
      <c r="F48" s="3"/>
      <c r="G48" s="3"/>
      <c r="H48" s="3"/>
      <c r="I48" s="3"/>
      <c r="J48" s="3"/>
      <c r="K48" s="3"/>
      <c r="L48" s="3"/>
      <c r="M48" s="3"/>
      <c r="N48" s="3"/>
      <c r="O48" s="3"/>
      <c r="P48" s="1"/>
      <c r="Q48" s="1"/>
    </row>
    <row r="49" spans="1:17" s="91" customFormat="1" ht="28" customHeight="1">
      <c r="B49" s="96" t="s">
        <v>60</v>
      </c>
      <c r="C49" s="96"/>
      <c r="D49" s="96"/>
      <c r="E49" s="95"/>
      <c r="F49" s="95"/>
      <c r="G49" s="95"/>
      <c r="H49" s="95"/>
      <c r="I49" s="95"/>
      <c r="J49" s="95"/>
      <c r="K49" s="95"/>
      <c r="L49" s="95"/>
      <c r="M49" s="95"/>
      <c r="N49" s="95"/>
      <c r="O49" s="95"/>
    </row>
    <row r="50" spans="1:17" s="2" customFormat="1" ht="93" customHeight="1">
      <c r="A50" s="1"/>
      <c r="B50" s="6"/>
      <c r="C50" s="37" t="s">
        <v>61</v>
      </c>
      <c r="D50" s="37"/>
      <c r="E50" s="37"/>
      <c r="F50" s="37"/>
      <c r="G50" s="37"/>
      <c r="H50" s="37"/>
      <c r="I50" s="37"/>
      <c r="J50" s="37"/>
      <c r="K50" s="37"/>
      <c r="L50" s="37"/>
      <c r="M50" s="37"/>
      <c r="N50" s="37"/>
      <c r="O50" s="37"/>
      <c r="P50" s="1"/>
      <c r="Q50" s="1"/>
    </row>
    <row r="51" spans="1:17" s="2" customFormat="1">
      <c r="A51" s="1"/>
      <c r="B51" s="6"/>
      <c r="C51" s="4"/>
      <c r="D51" s="4"/>
      <c r="E51" s="4"/>
      <c r="F51" s="4"/>
      <c r="G51" s="4"/>
      <c r="H51" s="4"/>
      <c r="I51" s="4"/>
      <c r="J51" s="4"/>
      <c r="K51" s="4"/>
      <c r="L51" s="4"/>
      <c r="M51" s="4"/>
      <c r="N51" s="4"/>
      <c r="O51" s="4"/>
      <c r="P51" s="1"/>
      <c r="Q51" s="1"/>
    </row>
    <row r="52" spans="1:17" s="2" customFormat="1" ht="74.25" customHeight="1">
      <c r="A52" s="1"/>
      <c r="B52" s="6"/>
      <c r="C52" s="60" t="s">
        <v>49</v>
      </c>
      <c r="D52" s="59"/>
      <c r="E52" s="59"/>
      <c r="F52" s="59"/>
      <c r="G52" s="59"/>
      <c r="H52" s="59"/>
      <c r="I52" s="4"/>
      <c r="J52" s="4"/>
      <c r="K52" s="60" t="s">
        <v>50</v>
      </c>
      <c r="L52" s="59"/>
      <c r="M52" s="59"/>
      <c r="N52" s="4"/>
      <c r="O52" s="4"/>
      <c r="P52" s="1"/>
      <c r="Q52" s="1"/>
    </row>
    <row r="53" spans="1:17" s="2" customFormat="1" ht="23" customHeight="1">
      <c r="A53" s="1"/>
      <c r="B53" s="6"/>
      <c r="C53" s="3"/>
      <c r="D53" s="3"/>
      <c r="E53" s="3"/>
      <c r="F53" s="3"/>
      <c r="G53" s="3"/>
      <c r="H53" s="3"/>
      <c r="I53" s="3"/>
      <c r="J53" s="3"/>
      <c r="K53" s="3"/>
      <c r="L53" s="3"/>
      <c r="M53" s="3"/>
      <c r="N53" s="3"/>
      <c r="O53" s="3"/>
      <c r="P53" s="1"/>
      <c r="Q53" s="1"/>
    </row>
    <row r="54" spans="1:17" ht="23" customHeight="1">
      <c r="B54" s="6"/>
      <c r="C54" s="44" t="s">
        <v>18</v>
      </c>
      <c r="D54" s="44"/>
      <c r="E54" s="44"/>
      <c r="F54" s="44"/>
      <c r="G54" s="44"/>
      <c r="H54" s="39"/>
      <c r="I54" s="16"/>
      <c r="J54" s="16"/>
      <c r="K54" s="70" t="s">
        <v>47</v>
      </c>
      <c r="L54" s="69" t="s">
        <v>62</v>
      </c>
      <c r="M54" s="69" t="s">
        <v>63</v>
      </c>
    </row>
    <row r="55" spans="1:17" ht="23" customHeight="1">
      <c r="C55" s="64" t="s">
        <v>19</v>
      </c>
      <c r="D55" s="64"/>
      <c r="E55" s="64"/>
      <c r="F55" s="64"/>
      <c r="G55" s="64"/>
      <c r="H55" s="61">
        <f>IF(H56=0,"-",'Meta Mínima'!E79/H56)</f>
        <v>138.52631578947367</v>
      </c>
      <c r="I55" s="16"/>
      <c r="J55" s="16"/>
      <c r="K55" s="70"/>
      <c r="L55" s="69"/>
      <c r="M55" s="69"/>
    </row>
    <row r="56" spans="1:17" ht="23" customHeight="1">
      <c r="C56" s="64" t="s">
        <v>20</v>
      </c>
      <c r="D56" s="64"/>
      <c r="E56" s="64"/>
      <c r="F56" s="64"/>
      <c r="G56" s="64"/>
      <c r="H56" s="62">
        <f>SUM(J21:J30)</f>
        <v>285</v>
      </c>
      <c r="I56" s="16"/>
      <c r="J56" s="16"/>
      <c r="K56" s="71" t="s">
        <v>38</v>
      </c>
      <c r="L56" s="66">
        <v>0.17</v>
      </c>
      <c r="M56" s="67">
        <f>SUMIFS(J21:J30,Q21:Q30,1)/SUM(J21:J30)</f>
        <v>0.17543859649122806</v>
      </c>
      <c r="N56" s="11"/>
    </row>
    <row r="57" spans="1:17" ht="23" customHeight="1">
      <c r="C57" s="64" t="s">
        <v>35</v>
      </c>
      <c r="D57" s="64"/>
      <c r="E57" s="64"/>
      <c r="F57" s="64"/>
      <c r="G57" s="64"/>
      <c r="H57" s="62">
        <f>H56*20</f>
        <v>5700</v>
      </c>
      <c r="I57" s="16"/>
      <c r="J57" s="16"/>
      <c r="K57" s="71" t="s">
        <v>39</v>
      </c>
      <c r="L57" s="66">
        <v>0.15</v>
      </c>
      <c r="M57" s="67">
        <f>SUMIFS(J21:J30,Q21:Q30,2)/SUM(J21:J30)</f>
        <v>0.17543859649122806</v>
      </c>
      <c r="N57" s="11"/>
    </row>
    <row r="58" spans="1:17" ht="23" customHeight="1">
      <c r="C58" s="65" t="s">
        <v>21</v>
      </c>
      <c r="D58" s="65"/>
      <c r="E58" s="65"/>
      <c r="F58" s="65"/>
      <c r="G58" s="65"/>
      <c r="H58" s="63">
        <f>H57*7</f>
        <v>39900</v>
      </c>
      <c r="I58" s="18"/>
      <c r="J58" s="16"/>
      <c r="K58" s="71" t="s">
        <v>46</v>
      </c>
      <c r="L58" s="66">
        <v>0.33</v>
      </c>
      <c r="M58" s="67">
        <f>(SUMIFS(J21:J30,Q21:Q30,3)+SUMIFS(J21:J30,Q21:Q30,4))/SUM(J21:J30)</f>
        <v>0.2807017543859649</v>
      </c>
      <c r="N58" s="11"/>
    </row>
    <row r="59" spans="1:17" ht="23" customHeight="1">
      <c r="C59" s="16"/>
      <c r="D59" s="16"/>
      <c r="E59" s="16"/>
      <c r="F59" s="16"/>
      <c r="G59" s="16"/>
      <c r="H59" s="16"/>
      <c r="I59" s="16"/>
      <c r="J59" s="16"/>
      <c r="K59" s="71" t="s">
        <v>42</v>
      </c>
      <c r="L59" s="66">
        <v>0.18</v>
      </c>
      <c r="M59" s="67">
        <f>SUMIFS(J21:J30,Q21:Q30,5)/SUM(J21:J30)</f>
        <v>0.14035087719298245</v>
      </c>
      <c r="N59" s="11"/>
    </row>
    <row r="60" spans="1:17" ht="23" customHeight="1">
      <c r="C60" s="16"/>
      <c r="D60" s="16"/>
      <c r="E60" s="16"/>
      <c r="F60" s="16"/>
      <c r="G60" s="16"/>
      <c r="H60" s="16"/>
      <c r="I60" s="16"/>
      <c r="J60" s="16"/>
      <c r="K60" s="71" t="s">
        <v>41</v>
      </c>
      <c r="L60" s="66">
        <v>0.09</v>
      </c>
      <c r="M60" s="67">
        <f>SUMIFS(J21:J30,Q21:Q30,6)/SUM(J21:J30)</f>
        <v>0.10526315789473684</v>
      </c>
      <c r="N60" s="11"/>
    </row>
    <row r="61" spans="1:17" ht="23" customHeight="1">
      <c r="C61" s="16"/>
      <c r="D61" s="16"/>
      <c r="E61" s="16"/>
      <c r="F61" s="16"/>
      <c r="G61" s="16"/>
      <c r="H61" s="16"/>
      <c r="I61" s="16"/>
      <c r="J61" s="16"/>
      <c r="K61" s="72" t="s">
        <v>40</v>
      </c>
      <c r="L61" s="68">
        <v>0.04</v>
      </c>
      <c r="M61" s="67">
        <f>SUMIFS(J21:J30,Q21:Q30,7)/SUM(J21:J30)</f>
        <v>5.6140350877192984E-2</v>
      </c>
      <c r="N61" s="11"/>
    </row>
    <row r="62" spans="1:17" ht="23" customHeight="1">
      <c r="C62" s="16"/>
      <c r="D62" s="16"/>
      <c r="E62" s="16"/>
      <c r="F62" s="16"/>
      <c r="G62" s="16"/>
      <c r="H62" s="16"/>
      <c r="I62" s="16"/>
      <c r="J62" s="16"/>
      <c r="K62" s="72" t="s">
        <v>44</v>
      </c>
      <c r="L62" s="68">
        <v>0.02</v>
      </c>
      <c r="M62" s="67">
        <f>SUMIFS(J21:J30,Q21:Q30,8)/SUM(J21:J30)</f>
        <v>2.8070175438596492E-2</v>
      </c>
      <c r="N62" s="11"/>
    </row>
    <row r="63" spans="1:17" ht="23" customHeight="1">
      <c r="C63" s="16"/>
      <c r="D63" s="16"/>
      <c r="E63" s="16"/>
      <c r="F63" s="16"/>
      <c r="G63" s="16"/>
      <c r="H63" s="16"/>
      <c r="I63" s="16"/>
      <c r="J63" s="16"/>
      <c r="K63" s="72" t="s">
        <v>45</v>
      </c>
      <c r="L63" s="68">
        <v>0.01</v>
      </c>
      <c r="M63" s="67">
        <f>SUMIFS(J21:J30,Q21:Q30,9)/SUM(J21:J30)</f>
        <v>1.7543859649122806E-2</v>
      </c>
      <c r="N63" s="11"/>
    </row>
    <row r="64" spans="1:17" ht="23" customHeight="1">
      <c r="C64" s="16"/>
      <c r="D64" s="16"/>
      <c r="E64" s="16"/>
      <c r="F64" s="16"/>
      <c r="G64" s="16"/>
      <c r="H64" s="16"/>
      <c r="I64" s="16"/>
      <c r="J64" s="16"/>
      <c r="K64" s="73" t="s">
        <v>43</v>
      </c>
      <c r="L64" s="68">
        <v>0.01</v>
      </c>
      <c r="M64" s="67">
        <f>SUMIFS(J21:J30,Q21:Q30,10)/SUM(J21:J30)</f>
        <v>2.1052631578947368E-2</v>
      </c>
      <c r="N64" s="11"/>
    </row>
    <row r="65" spans="2:15" ht="23" customHeight="1">
      <c r="B65" s="58"/>
      <c r="C65" s="58"/>
      <c r="D65" s="58"/>
      <c r="E65" s="58"/>
      <c r="F65" s="58"/>
      <c r="G65" s="58"/>
      <c r="H65" s="58"/>
      <c r="I65" s="58"/>
      <c r="J65" s="58"/>
      <c r="K65" s="58"/>
      <c r="L65" s="58"/>
      <c r="M65" s="58"/>
      <c r="N65" s="58"/>
      <c r="O65" s="58"/>
    </row>
    <row r="66" spans="2:15"/>
    <row r="67" spans="2:15"/>
    <row r="68" spans="2:15" ht="84" customHeight="1">
      <c r="C68" s="74" t="s">
        <v>64</v>
      </c>
      <c r="D68" s="75"/>
      <c r="E68" s="75"/>
      <c r="F68" s="75"/>
      <c r="J68" s="74" t="s">
        <v>65</v>
      </c>
      <c r="K68" s="75"/>
      <c r="L68" s="75"/>
      <c r="M68" s="75"/>
    </row>
    <row r="69" spans="2:15" s="57" customFormat="1" ht="23" customHeight="1"/>
    <row r="70" spans="2:15" s="57" customFormat="1" ht="39" customHeight="1">
      <c r="C70" s="43" t="s">
        <v>10</v>
      </c>
      <c r="D70" s="43"/>
      <c r="E70" s="43"/>
      <c r="F70" s="43"/>
      <c r="J70" s="42" t="s">
        <v>3</v>
      </c>
      <c r="K70" s="42"/>
      <c r="L70" s="42"/>
      <c r="M70" s="76" t="s">
        <v>66</v>
      </c>
    </row>
    <row r="71" spans="2:15" s="57" customFormat="1" ht="23" customHeight="1">
      <c r="C71" s="81" t="s">
        <v>12</v>
      </c>
      <c r="D71" s="81"/>
      <c r="E71" s="88">
        <f>IF(E79=0,"-",F71/E79)</f>
        <v>0.15628166160081053</v>
      </c>
      <c r="F71" s="89">
        <f>SUM('Meta Mínima'!M21:M30)</f>
        <v>6170</v>
      </c>
      <c r="J71" s="82" t="str">
        <f>D21</f>
        <v>Recompensa 1</v>
      </c>
      <c r="K71" s="82"/>
      <c r="L71" s="82"/>
      <c r="M71" s="77">
        <f>H21/G21</f>
        <v>0</v>
      </c>
    </row>
    <row r="72" spans="2:15" s="57" customFormat="1" ht="23" customHeight="1">
      <c r="C72" s="81" t="s">
        <v>23</v>
      </c>
      <c r="D72" s="81"/>
      <c r="E72" s="88">
        <f>E39</f>
        <v>0.05</v>
      </c>
      <c r="F72" s="89">
        <f>'Meta Mínima'!E39*E79</f>
        <v>1974</v>
      </c>
      <c r="J72" s="82" t="str">
        <f t="shared" ref="J72:J80" si="5">D22</f>
        <v>Recompensa 2</v>
      </c>
      <c r="K72" s="82"/>
      <c r="L72" s="82"/>
      <c r="M72" s="77">
        <f t="shared" ref="M72:M80" si="6">H22/G22</f>
        <v>0.33333333333333331</v>
      </c>
    </row>
    <row r="73" spans="2:15" s="57" customFormat="1" ht="23" customHeight="1">
      <c r="C73" s="81" t="s">
        <v>13</v>
      </c>
      <c r="D73" s="81"/>
      <c r="E73" s="88">
        <f>'Meta Mínima'!E40</f>
        <v>0.05</v>
      </c>
      <c r="F73" s="89">
        <f>'Meta Mínima'!E40*E79</f>
        <v>1974</v>
      </c>
      <c r="J73" s="82" t="str">
        <f t="shared" si="5"/>
        <v>Recompensa 3</v>
      </c>
      <c r="K73" s="82"/>
      <c r="L73" s="82"/>
      <c r="M73" s="77">
        <f t="shared" si="6"/>
        <v>0.16666666666666666</v>
      </c>
    </row>
    <row r="74" spans="2:15" s="57" customFormat="1" ht="23" customHeight="1">
      <c r="C74" s="81" t="s">
        <v>14</v>
      </c>
      <c r="D74" s="81"/>
      <c r="E74" s="88">
        <f>'Meta Mínima'!E41</f>
        <v>0.08</v>
      </c>
      <c r="F74" s="89">
        <f>'Meta Mínima'!E41*E79</f>
        <v>3158.4</v>
      </c>
      <c r="J74" s="82" t="str">
        <f t="shared" si="5"/>
        <v>Recompensa 4</v>
      </c>
      <c r="K74" s="82"/>
      <c r="L74" s="82"/>
      <c r="M74" s="77">
        <f t="shared" si="6"/>
        <v>0.25</v>
      </c>
    </row>
    <row r="75" spans="2:15" s="57" customFormat="1" ht="23" customHeight="1">
      <c r="C75" s="83" t="s">
        <v>34</v>
      </c>
      <c r="D75" s="83"/>
      <c r="E75" s="84">
        <f>-(F71+F72+F73+F74)</f>
        <v>-13276.4</v>
      </c>
      <c r="F75" s="84">
        <f>-('Meta Mínima'!F38+'Meta Mínima'!F39+'Meta Mínima'!F40+'Meta Mínima'!F41)</f>
        <v>0</v>
      </c>
      <c r="J75" s="82" t="str">
        <f t="shared" si="5"/>
        <v>Recompensa 5</v>
      </c>
      <c r="K75" s="82"/>
      <c r="L75" s="82"/>
      <c r="M75" s="77">
        <f t="shared" si="6"/>
        <v>0.29166666666666669</v>
      </c>
    </row>
    <row r="76" spans="2:15" s="57" customFormat="1" ht="23" customHeight="1">
      <c r="C76" s="81" t="s">
        <v>33</v>
      </c>
      <c r="D76" s="81"/>
      <c r="E76" s="78">
        <f>-('Meta Mínima'!E12)</f>
        <v>-20000</v>
      </c>
      <c r="F76" s="78"/>
      <c r="J76" s="82" t="str">
        <f t="shared" si="5"/>
        <v>Recompensa 6</v>
      </c>
      <c r="K76" s="82"/>
      <c r="L76" s="82"/>
      <c r="M76" s="77">
        <f t="shared" si="6"/>
        <v>0.16</v>
      </c>
    </row>
    <row r="77" spans="2:15" s="57" customFormat="1" ht="23" customHeight="1">
      <c r="C77" s="81" t="s">
        <v>11</v>
      </c>
      <c r="D77" s="81"/>
      <c r="E77" s="78">
        <f>-('Meta Mínima'!E14)</f>
        <v>-5000</v>
      </c>
      <c r="F77" s="78"/>
      <c r="J77" s="82" t="str">
        <f t="shared" si="5"/>
        <v>Recompensa 7</v>
      </c>
      <c r="K77" s="82"/>
      <c r="L77" s="82"/>
      <c r="M77" s="77">
        <f t="shared" si="6"/>
        <v>0.16666666666666666</v>
      </c>
    </row>
    <row r="78" spans="2:15" s="57" customFormat="1" ht="23" customHeight="1">
      <c r="C78" s="83" t="s">
        <v>15</v>
      </c>
      <c r="D78" s="83"/>
      <c r="E78" s="84">
        <f>E77+E76+E75</f>
        <v>-38276.400000000001</v>
      </c>
      <c r="F78" s="84"/>
      <c r="J78" s="82" t="str">
        <f t="shared" si="5"/>
        <v>Recompensa 8</v>
      </c>
      <c r="K78" s="82"/>
      <c r="L78" s="82"/>
      <c r="M78" s="77">
        <f t="shared" si="6"/>
        <v>0.16666666666666666</v>
      </c>
    </row>
    <row r="79" spans="2:15" s="57" customFormat="1" ht="23" customHeight="1">
      <c r="C79" s="83" t="s">
        <v>16</v>
      </c>
      <c r="D79" s="83"/>
      <c r="E79" s="86">
        <f>SUM('Meta Mínima'!L21:L30)</f>
        <v>39480</v>
      </c>
      <c r="F79" s="86"/>
      <c r="J79" s="82" t="str">
        <f t="shared" si="5"/>
        <v>Recompensa 9</v>
      </c>
      <c r="K79" s="82"/>
      <c r="L79" s="82"/>
      <c r="M79" s="77">
        <f t="shared" si="6"/>
        <v>0.13333333333333333</v>
      </c>
    </row>
    <row r="80" spans="2:15" s="57" customFormat="1" ht="23" customHeight="1">
      <c r="C80" s="85" t="s">
        <v>17</v>
      </c>
      <c r="D80" s="85"/>
      <c r="E80" s="87">
        <f>E79+E78</f>
        <v>1203.5999999999985</v>
      </c>
      <c r="F80" s="87"/>
      <c r="J80" s="82" t="str">
        <f t="shared" si="5"/>
        <v>Recompensa 10</v>
      </c>
      <c r="K80" s="82"/>
      <c r="L80" s="82"/>
      <c r="M80" s="77">
        <f t="shared" si="6"/>
        <v>0.06</v>
      </c>
    </row>
    <row r="81" spans="6:6" s="57" customFormat="1" ht="23" customHeight="1"/>
    <row r="82" spans="6:6"/>
    <row r="83" spans="6:6" hidden="1">
      <c r="F83" s="12"/>
    </row>
  </sheetData>
  <sheetProtection sheet="1" objects="1" scenarios="1"/>
  <mergeCells count="76">
    <mergeCell ref="B2:O2"/>
    <mergeCell ref="D28:F28"/>
    <mergeCell ref="E39:F39"/>
    <mergeCell ref="E38:F38"/>
    <mergeCell ref="B34:D34"/>
    <mergeCell ref="C54:H54"/>
    <mergeCell ref="C58:G58"/>
    <mergeCell ref="C42:F42"/>
    <mergeCell ref="C43:D44"/>
    <mergeCell ref="E43:F44"/>
    <mergeCell ref="C50:O50"/>
    <mergeCell ref="K54:K55"/>
    <mergeCell ref="L54:L55"/>
    <mergeCell ref="M54:M55"/>
    <mergeCell ref="G42:K44"/>
    <mergeCell ref="B49:D49"/>
    <mergeCell ref="C52:H52"/>
    <mergeCell ref="K52:M52"/>
    <mergeCell ref="C12:D12"/>
    <mergeCell ref="E12:F12"/>
    <mergeCell ref="D20:F20"/>
    <mergeCell ref="D21:F21"/>
    <mergeCell ref="C18:O18"/>
    <mergeCell ref="C10:F10"/>
    <mergeCell ref="C14:D14"/>
    <mergeCell ref="E14:F14"/>
    <mergeCell ref="B17:D17"/>
    <mergeCell ref="E4:L4"/>
    <mergeCell ref="B9:F9"/>
    <mergeCell ref="B6:O6"/>
    <mergeCell ref="D27:F27"/>
    <mergeCell ref="C37:F37"/>
    <mergeCell ref="E41:F41"/>
    <mergeCell ref="E40:F40"/>
    <mergeCell ref="D22:F22"/>
    <mergeCell ref="D23:F23"/>
    <mergeCell ref="D24:F24"/>
    <mergeCell ref="D25:F25"/>
    <mergeCell ref="D26:F26"/>
    <mergeCell ref="C35:O35"/>
    <mergeCell ref="C38:D38"/>
    <mergeCell ref="C39:D39"/>
    <mergeCell ref="C40:D40"/>
    <mergeCell ref="C41:D41"/>
    <mergeCell ref="D29:F29"/>
    <mergeCell ref="D30:F30"/>
    <mergeCell ref="C80:D80"/>
    <mergeCell ref="E80:F80"/>
    <mergeCell ref="C75:D75"/>
    <mergeCell ref="E75:F75"/>
    <mergeCell ref="C76:D76"/>
    <mergeCell ref="E76:F76"/>
    <mergeCell ref="C77:D77"/>
    <mergeCell ref="E77:F77"/>
    <mergeCell ref="C78:D78"/>
    <mergeCell ref="E78:F78"/>
    <mergeCell ref="C74:D74"/>
    <mergeCell ref="C79:D79"/>
    <mergeCell ref="E79:F79"/>
    <mergeCell ref="C70:F70"/>
    <mergeCell ref="C71:D71"/>
    <mergeCell ref="C72:D72"/>
    <mergeCell ref="C68:F68"/>
    <mergeCell ref="J70:L70"/>
    <mergeCell ref="J71:L71"/>
    <mergeCell ref="J72:L72"/>
    <mergeCell ref="C73:D73"/>
    <mergeCell ref="J78:L78"/>
    <mergeCell ref="J79:L79"/>
    <mergeCell ref="J80:L80"/>
    <mergeCell ref="J68:M68"/>
    <mergeCell ref="J73:L73"/>
    <mergeCell ref="J74:L74"/>
    <mergeCell ref="J75:L75"/>
    <mergeCell ref="J76:L76"/>
    <mergeCell ref="J77:L77"/>
  </mergeCells>
  <phoneticPr fontId="5" type="noConversion"/>
  <conditionalFormatting sqref="E43">
    <cfRule type="cellIs" dxfId="3" priority="4" operator="greaterThan">
      <formula>"$E$77"</formula>
    </cfRule>
    <cfRule type="cellIs" dxfId="2" priority="5" operator="lessThan">
      <formula>"$E$77"</formula>
    </cfRule>
  </conditionalFormatting>
  <conditionalFormatting sqref="E80">
    <cfRule type="cellIs" dxfId="1" priority="2" operator="lessThan">
      <formula>0</formula>
    </cfRule>
  </conditionalFormatting>
  <conditionalFormatting sqref="M71:M80">
    <cfRule type="cellIs" dxfId="0" priority="1" operator="greaterThan">
      <formula>0.3</formula>
    </cfRule>
  </conditionalFormatting>
  <pageMargins left="0.7" right="0.7" top="0.75" bottom="0.75" header="0.3" footer="0.3"/>
  <pageSetup paperSize="9" orientation="portrait"/>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Meta Mínima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Comunicação Benfeitoria</dc:creator>
  <cp:lastModifiedBy>binhu</cp:lastModifiedBy>
  <dcterms:created xsi:type="dcterms:W3CDTF">2015-09-24T21:52:28Z</dcterms:created>
  <dcterms:modified xsi:type="dcterms:W3CDTF">2017-06-01T16:51:26Z</dcterms:modified>
</cp:coreProperties>
</file>